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23. Drones\"/>
    </mc:Choice>
  </mc:AlternateContent>
  <xr:revisionPtr revIDLastSave="0" documentId="13_ncr:1_{952BBC2E-7EC2-45BF-A4E3-F41579A0D04C}" xr6:coauthVersionLast="47" xr6:coauthVersionMax="47" xr10:uidLastSave="{00000000-0000-0000-0000-000000000000}"/>
  <bookViews>
    <workbookView xWindow="-110" yWindow="-110" windowWidth="19420" windowHeight="11020" xr2:uid="{8B0049CE-B79C-4EF0-8FA8-FBBF9BECEBD1}"/>
  </bookViews>
  <sheets>
    <sheet name="Contents" sheetId="21" r:id="rId1"/>
    <sheet name="Input" sheetId="24" r:id="rId2"/>
    <sheet name="Ann 1" sheetId="1" r:id="rId3"/>
    <sheet name="Ann 2" sheetId="2" r:id="rId4"/>
    <sheet name="Ann 3" sheetId="3" r:id="rId5"/>
    <sheet name="Ann 4" sheetId="4" r:id="rId6"/>
    <sheet name="Ann 5" sheetId="7" r:id="rId7"/>
    <sheet name="Ann 6" sheetId="23" state="hidden" r:id="rId8"/>
    <sheet name="Ann 9" sheetId="10" r:id="rId9"/>
    <sheet name="Ann 10" sheetId="13" r:id="rId10"/>
    <sheet name="Ann 11" sheetId="11" r:id="rId11"/>
    <sheet name="Ann 12" sheetId="12" state="hidden" r:id="rId12"/>
    <sheet name="Ann 13" sheetId="14" r:id="rId13"/>
    <sheet name="For word file" sheetId="20" state="hidden" r:id="rId14"/>
    <sheet name="Ann 14" sheetId="18" r:id="rId15"/>
    <sheet name="Assumptions" sheetId="22" r:id="rId16"/>
    <sheet name="Sheet1" sheetId="15" state="hidden"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4" l="1"/>
  <c r="E16" i="4"/>
  <c r="F16" i="4"/>
  <c r="G16" i="4"/>
  <c r="H16" i="4"/>
  <c r="I16" i="4"/>
  <c r="J16" i="4"/>
  <c r="K16" i="4"/>
  <c r="C16" i="4"/>
  <c r="D17" i="4"/>
  <c r="E17" i="4"/>
  <c r="F17" i="4"/>
  <c r="G17" i="4"/>
  <c r="H17" i="4"/>
  <c r="I17" i="4"/>
  <c r="J17" i="4"/>
  <c r="K17" i="4"/>
  <c r="C17" i="4"/>
  <c r="D18" i="4"/>
  <c r="E18" i="4"/>
  <c r="F18" i="4"/>
  <c r="G18" i="4"/>
  <c r="H18" i="4"/>
  <c r="I18" i="4"/>
  <c r="J18" i="4"/>
  <c r="K18" i="4"/>
  <c r="C18" i="4"/>
  <c r="C11" i="14"/>
  <c r="D10" i="14"/>
  <c r="D11" i="14"/>
  <c r="C27" i="11"/>
  <c r="C25" i="11"/>
  <c r="E12" i="11"/>
  <c r="D11" i="11"/>
  <c r="C21" i="4"/>
  <c r="C16" i="18" s="1"/>
  <c r="D21" i="4" l="1"/>
  <c r="E5" i="3"/>
  <c r="C22" i="11"/>
  <c r="I9" i="4"/>
  <c r="I12" i="7" s="1"/>
  <c r="J9" i="4"/>
  <c r="J12" i="7" s="1"/>
  <c r="K9" i="4"/>
  <c r="K12" i="7" s="1"/>
  <c r="H9" i="4"/>
  <c r="H12" i="7" s="1"/>
  <c r="G9" i="4"/>
  <c r="G12" i="7" s="1"/>
  <c r="E10" i="3"/>
  <c r="B8" i="18"/>
  <c r="B52" i="24"/>
  <c r="B51" i="24"/>
  <c r="C42" i="4"/>
  <c r="C34" i="1"/>
  <c r="D5" i="4"/>
  <c r="E5" i="4" s="1"/>
  <c r="F5" i="4" s="1"/>
  <c r="C20" i="4"/>
  <c r="D20" i="4" s="1"/>
  <c r="E20" i="4" s="1"/>
  <c r="F20" i="4" s="1"/>
  <c r="G20" i="4" s="1"/>
  <c r="H20" i="4" s="1"/>
  <c r="I20" i="4" s="1"/>
  <c r="J20" i="4" s="1"/>
  <c r="K20" i="4" s="1"/>
  <c r="K18" i="18" s="1"/>
  <c r="D9" i="4"/>
  <c r="E9" i="4"/>
  <c r="F9" i="4"/>
  <c r="D11" i="4"/>
  <c r="E11" i="4"/>
  <c r="E24" i="7" s="1"/>
  <c r="F11" i="4"/>
  <c r="G11" i="4"/>
  <c r="H11" i="4"/>
  <c r="H24" i="7" s="1"/>
  <c r="H13" i="18" s="1"/>
  <c r="I11" i="4"/>
  <c r="I24" i="7" s="1"/>
  <c r="I13" i="18" s="1"/>
  <c r="J11" i="4"/>
  <c r="J24" i="7" s="1"/>
  <c r="J13" i="18" s="1"/>
  <c r="K11" i="4"/>
  <c r="K24" i="7" s="1"/>
  <c r="K13" i="18" s="1"/>
  <c r="C19" i="4"/>
  <c r="D19" i="4" s="1"/>
  <c r="E19" i="4" s="1"/>
  <c r="F19" i="4" s="1"/>
  <c r="G19" i="4" s="1"/>
  <c r="H19" i="4" s="1"/>
  <c r="I19" i="4" s="1"/>
  <c r="J19" i="4" s="1"/>
  <c r="K19" i="4" s="1"/>
  <c r="K17" i="18" s="1"/>
  <c r="E15" i="18"/>
  <c r="C11" i="4"/>
  <c r="C24" i="7" s="1"/>
  <c r="C13" i="18" s="1"/>
  <c r="C10" i="4"/>
  <c r="D10" i="4" s="1"/>
  <c r="D12" i="18" s="1"/>
  <c r="C9" i="4"/>
  <c r="C6" i="3"/>
  <c r="D9" i="3"/>
  <c r="C9" i="3"/>
  <c r="D8" i="3"/>
  <c r="D7" i="3"/>
  <c r="D6" i="3"/>
  <c r="D5" i="3"/>
  <c r="D4" i="3"/>
  <c r="C8" i="3"/>
  <c r="B28" i="24"/>
  <c r="C12" i="4" s="1"/>
  <c r="C7" i="3"/>
  <c r="C4" i="3"/>
  <c r="C22" i="4" l="1"/>
  <c r="D22" i="4"/>
  <c r="E22" i="4"/>
  <c r="E4" i="3"/>
  <c r="D16" i="18"/>
  <c r="E21" i="4"/>
  <c r="B55" i="24"/>
  <c r="D9" i="11"/>
  <c r="D7" i="11"/>
  <c r="C23" i="11" s="1"/>
  <c r="I15" i="18"/>
  <c r="J15" i="18"/>
  <c r="H15" i="18"/>
  <c r="E14" i="11"/>
  <c r="K15" i="18"/>
  <c r="G15" i="18"/>
  <c r="G18" i="18"/>
  <c r="F15" i="18"/>
  <c r="E18" i="18"/>
  <c r="D18" i="18"/>
  <c r="D12" i="4"/>
  <c r="E12" i="4" s="1"/>
  <c r="E14" i="18" s="1"/>
  <c r="C26" i="11"/>
  <c r="D10" i="11"/>
  <c r="D15" i="18"/>
  <c r="C14" i="18"/>
  <c r="D24" i="7"/>
  <c r="D13" i="18" s="1"/>
  <c r="E13" i="18"/>
  <c r="F18" i="18"/>
  <c r="C13" i="4"/>
  <c r="C18" i="18"/>
  <c r="G24" i="7"/>
  <c r="G13" i="18" s="1"/>
  <c r="J18" i="18"/>
  <c r="F24" i="7"/>
  <c r="F13" i="18" s="1"/>
  <c r="I18" i="18"/>
  <c r="C15" i="18"/>
  <c r="C12" i="7"/>
  <c r="D12" i="7" s="1"/>
  <c r="E12" i="7" s="1"/>
  <c r="F12" i="7" s="1"/>
  <c r="J17" i="18"/>
  <c r="I17" i="18"/>
  <c r="C12" i="18"/>
  <c r="H18" i="18"/>
  <c r="H17" i="18"/>
  <c r="G17" i="18"/>
  <c r="F17" i="18"/>
  <c r="C17" i="18"/>
  <c r="E17" i="18"/>
  <c r="D17" i="18"/>
  <c r="E25" i="4"/>
  <c r="C25" i="4"/>
  <c r="F25" i="4"/>
  <c r="D25" i="4"/>
  <c r="G5" i="4"/>
  <c r="H5" i="4" s="1"/>
  <c r="I5" i="4" s="1"/>
  <c r="J5" i="4" s="1"/>
  <c r="K5" i="4" s="1"/>
  <c r="K25" i="4" s="1"/>
  <c r="E10" i="4"/>
  <c r="E12" i="18" s="1"/>
  <c r="E6" i="3"/>
  <c r="E9" i="3"/>
  <c r="E8" i="3"/>
  <c r="E7" i="3"/>
  <c r="C34" i="4"/>
  <c r="B19" i="18" s="1"/>
  <c r="E12" i="10"/>
  <c r="F21" i="4" l="1"/>
  <c r="E16" i="18"/>
  <c r="D14" i="18"/>
  <c r="F12" i="4"/>
  <c r="G12" i="4" s="1"/>
  <c r="D13" i="4"/>
  <c r="D6" i="10"/>
  <c r="E13" i="4"/>
  <c r="E11" i="3"/>
  <c r="J25" i="4"/>
  <c r="G25" i="4"/>
  <c r="H25" i="4"/>
  <c r="I25" i="4"/>
  <c r="F10" i="4"/>
  <c r="E13" i="10"/>
  <c r="E14" i="10" s="1"/>
  <c r="E15" i="10" s="1"/>
  <c r="B13" i="23"/>
  <c r="B9" i="23"/>
  <c r="G21" i="4" l="1"/>
  <c r="F16" i="18"/>
  <c r="F22" i="4"/>
  <c r="F14" i="18"/>
  <c r="F12" i="18"/>
  <c r="F13" i="4"/>
  <c r="G14" i="18"/>
  <c r="H12" i="4"/>
  <c r="G10" i="4"/>
  <c r="E13" i="3"/>
  <c r="B15" i="23"/>
  <c r="B17" i="23" s="1"/>
  <c r="E16" i="10"/>
  <c r="E17" i="10" s="1"/>
  <c r="C6" i="10"/>
  <c r="A6" i="21"/>
  <c r="H21" i="4" l="1"/>
  <c r="G16" i="18"/>
  <c r="G22" i="4"/>
  <c r="G12" i="18"/>
  <c r="G13" i="4"/>
  <c r="I12" i="4"/>
  <c r="H14" i="18"/>
  <c r="C19" i="1"/>
  <c r="H10" i="4"/>
  <c r="E18" i="10"/>
  <c r="E19" i="10" s="1"/>
  <c r="E20" i="10" s="1"/>
  <c r="E15" i="11"/>
  <c r="A12" i="21"/>
  <c r="A10" i="21"/>
  <c r="A9" i="21"/>
  <c r="A13" i="21"/>
  <c r="I21" i="4" l="1"/>
  <c r="H16" i="18"/>
  <c r="H22" i="4"/>
  <c r="H12" i="18"/>
  <c r="H13" i="4"/>
  <c r="J12" i="4"/>
  <c r="I14" i="18"/>
  <c r="I10" i="4"/>
  <c r="A15" i="21"/>
  <c r="A14" i="21"/>
  <c r="A11" i="21"/>
  <c r="A8" i="21"/>
  <c r="A7" i="21"/>
  <c r="A5" i="21"/>
  <c r="A4" i="21"/>
  <c r="C30" i="18"/>
  <c r="K30" i="18"/>
  <c r="J30" i="18"/>
  <c r="I30" i="18"/>
  <c r="H30" i="18"/>
  <c r="G30" i="18"/>
  <c r="F30" i="18"/>
  <c r="E30" i="18"/>
  <c r="D30" i="18"/>
  <c r="J21" i="4" l="1"/>
  <c r="I16" i="18"/>
  <c r="I22" i="4"/>
  <c r="I12" i="18"/>
  <c r="I13" i="4"/>
  <c r="J14" i="18"/>
  <c r="K12" i="4"/>
  <c r="J10" i="4"/>
  <c r="G13" i="7"/>
  <c r="K21" i="4" l="1"/>
  <c r="J16" i="18"/>
  <c r="J22" i="4"/>
  <c r="J12" i="18"/>
  <c r="J13" i="4"/>
  <c r="K14" i="18"/>
  <c r="K10" i="4"/>
  <c r="K13" i="4" s="1"/>
  <c r="E13" i="7"/>
  <c r="F13" i="7"/>
  <c r="C13" i="7"/>
  <c r="H13" i="7"/>
  <c r="D13" i="7"/>
  <c r="I13" i="7"/>
  <c r="K13" i="7"/>
  <c r="K16" i="18" l="1"/>
  <c r="K22" i="4"/>
  <c r="K12" i="18"/>
  <c r="J13" i="7"/>
  <c r="C9" i="18" l="1"/>
  <c r="E5" i="11"/>
  <c r="J3" i="20"/>
  <c r="B3" i="20"/>
  <c r="D9" i="18" l="1"/>
  <c r="E9" i="18"/>
  <c r="G3" i="20"/>
  <c r="C3" i="20"/>
  <c r="D3" i="20"/>
  <c r="I3" i="20"/>
  <c r="H3" i="20"/>
  <c r="E3" i="20"/>
  <c r="F3" i="20"/>
  <c r="C12" i="1" l="1"/>
  <c r="C35" i="1"/>
  <c r="C12" i="10" l="1"/>
  <c r="C20" i="1"/>
  <c r="C16" i="1"/>
  <c r="F8" i="10"/>
  <c r="F7" i="10"/>
  <c r="C9" i="1"/>
  <c r="D12" i="10" l="1"/>
  <c r="D13" i="10" s="1"/>
  <c r="D14" i="10" s="1"/>
  <c r="D11" i="18"/>
  <c r="C7" i="15"/>
  <c r="E11" i="18"/>
  <c r="C13" i="10"/>
  <c r="C3" i="15"/>
  <c r="K6" i="12"/>
  <c r="E5" i="12"/>
  <c r="H6" i="12"/>
  <c r="E6" i="12"/>
  <c r="D6" i="12"/>
  <c r="F6" i="12"/>
  <c r="F5" i="12"/>
  <c r="G5" i="12"/>
  <c r="I6" i="12"/>
  <c r="B10" i="13" l="1"/>
  <c r="F12" i="10"/>
  <c r="F6" i="10"/>
  <c r="C9" i="7" s="1"/>
  <c r="F13" i="10"/>
  <c r="F3" i="15"/>
  <c r="F11" i="18"/>
  <c r="C14" i="10"/>
  <c r="F14" i="10" s="1"/>
  <c r="C10" i="13"/>
  <c r="E3" i="15"/>
  <c r="D3" i="15"/>
  <c r="H5" i="12"/>
  <c r="J5" i="12"/>
  <c r="C6" i="12"/>
  <c r="J6" i="12"/>
  <c r="D5" i="12"/>
  <c r="I5" i="12"/>
  <c r="C5" i="12"/>
  <c r="G6" i="12"/>
  <c r="K5" i="12"/>
  <c r="D15" i="10"/>
  <c r="D16" i="10" s="1"/>
  <c r="D17" i="10" s="1"/>
  <c r="D10" i="7" l="1"/>
  <c r="D35" i="4"/>
  <c r="E35" i="4"/>
  <c r="E10" i="7"/>
  <c r="E16" i="11"/>
  <c r="C35" i="4"/>
  <c r="C10" i="7"/>
  <c r="F9" i="10"/>
  <c r="G11" i="18"/>
  <c r="D10" i="13"/>
  <c r="C15" i="10"/>
  <c r="D18" i="10"/>
  <c r="B7" i="18" l="1"/>
  <c r="B33" i="18" s="1"/>
  <c r="B34" i="18" s="1"/>
  <c r="C11" i="7"/>
  <c r="D9" i="7" s="1"/>
  <c r="D11" i="7" s="1"/>
  <c r="D40" i="7" s="1"/>
  <c r="F15" i="10"/>
  <c r="F35" i="4" s="1"/>
  <c r="F9" i="18"/>
  <c r="H11" i="18"/>
  <c r="G3" i="15"/>
  <c r="E10" i="13"/>
  <c r="C16" i="10"/>
  <c r="C17" i="10" s="1"/>
  <c r="D19" i="10"/>
  <c r="D20" i="10" s="1"/>
  <c r="F10" i="7" l="1"/>
  <c r="E9" i="7"/>
  <c r="E11" i="7" s="1"/>
  <c r="E40" i="7" s="1"/>
  <c r="C40" i="7"/>
  <c r="D10" i="18"/>
  <c r="F16" i="10"/>
  <c r="G9" i="18"/>
  <c r="I11" i="18"/>
  <c r="H3" i="15"/>
  <c r="F10" i="13"/>
  <c r="C18" i="10"/>
  <c r="G10" i="7" l="1"/>
  <c r="G35" i="4"/>
  <c r="F9" i="7"/>
  <c r="F11" i="7" s="1"/>
  <c r="F40" i="7" s="1"/>
  <c r="E10" i="18"/>
  <c r="D24" i="4"/>
  <c r="D26" i="4" s="1"/>
  <c r="D49" i="7" s="1"/>
  <c r="F17" i="10"/>
  <c r="H9" i="18"/>
  <c r="J11" i="18"/>
  <c r="I3" i="15"/>
  <c r="G10" i="13"/>
  <c r="C19" i="10"/>
  <c r="H10" i="7" l="1"/>
  <c r="H35" i="4"/>
  <c r="E24" i="4"/>
  <c r="E26" i="4" s="1"/>
  <c r="E49" i="7" s="1"/>
  <c r="G9" i="7"/>
  <c r="G11" i="7" s="1"/>
  <c r="G40" i="7" s="1"/>
  <c r="F10" i="18"/>
  <c r="C4" i="20"/>
  <c r="C5" i="20" s="1"/>
  <c r="C6" i="20" s="1"/>
  <c r="F18" i="10"/>
  <c r="C20" i="10"/>
  <c r="F19" i="10"/>
  <c r="I9" i="18"/>
  <c r="K11" i="18"/>
  <c r="H10" i="13"/>
  <c r="I10" i="13"/>
  <c r="J10" i="7" l="1"/>
  <c r="J35" i="4"/>
  <c r="I10" i="7"/>
  <c r="I35" i="4"/>
  <c r="D4" i="20"/>
  <c r="D5" i="20" s="1"/>
  <c r="D6" i="20" s="1"/>
  <c r="F24" i="4"/>
  <c r="F26" i="4" s="1"/>
  <c r="F49" i="7" s="1"/>
  <c r="H9" i="7"/>
  <c r="H11" i="7" s="1"/>
  <c r="H40" i="7" s="1"/>
  <c r="G10" i="18"/>
  <c r="F20" i="10"/>
  <c r="J10" i="13"/>
  <c r="J9" i="18"/>
  <c r="K9" i="18"/>
  <c r="K10" i="7" l="1"/>
  <c r="K35" i="4"/>
  <c r="E4" i="20"/>
  <c r="E5" i="20" s="1"/>
  <c r="E6" i="20" s="1"/>
  <c r="G24" i="4"/>
  <c r="F4" i="20" s="1"/>
  <c r="F5" i="20" s="1"/>
  <c r="F6" i="20" s="1"/>
  <c r="I9" i="7"/>
  <c r="I11" i="7" s="1"/>
  <c r="H10" i="18"/>
  <c r="G26" i="4" l="1"/>
  <c r="G49" i="7" s="1"/>
  <c r="I40" i="7"/>
  <c r="H24" i="4"/>
  <c r="G4" i="20" s="1"/>
  <c r="G5" i="20" s="1"/>
  <c r="G6" i="20" s="1"/>
  <c r="I10" i="18"/>
  <c r="J9" i="7" l="1"/>
  <c r="J11" i="7" s="1"/>
  <c r="I24" i="4"/>
  <c r="H4" i="20" s="1"/>
  <c r="H5" i="20" s="1"/>
  <c r="H6" i="20" s="1"/>
  <c r="J10" i="18"/>
  <c r="H26" i="4"/>
  <c r="H49" i="7" s="1"/>
  <c r="K9" i="7" l="1"/>
  <c r="K11" i="7" s="1"/>
  <c r="J24" i="4"/>
  <c r="I4" i="20" s="1"/>
  <c r="I5" i="20" s="1"/>
  <c r="I6" i="20" s="1"/>
  <c r="K10" i="18"/>
  <c r="K40" i="7" l="1"/>
  <c r="J40" i="7"/>
  <c r="K24" i="4"/>
  <c r="J4" i="20" s="1"/>
  <c r="J5" i="20" s="1"/>
  <c r="J6" i="20" s="1"/>
  <c r="I26" i="4"/>
  <c r="I49" i="7" s="1"/>
  <c r="J26" i="4" l="1"/>
  <c r="J3" i="15"/>
  <c r="K3" i="15"/>
  <c r="J49" i="7" l="1"/>
  <c r="K26" i="4"/>
  <c r="K49" i="7" l="1"/>
  <c r="C24" i="4" l="1"/>
  <c r="C26" i="4" l="1"/>
  <c r="B4" i="20"/>
  <c r="B5" i="20" s="1"/>
  <c r="B6" i="20" s="1"/>
  <c r="C49" i="7" l="1"/>
  <c r="C25" i="1" l="1"/>
  <c r="C7" i="2" s="1"/>
  <c r="B4" i="18" s="1"/>
  <c r="D8" i="11" l="1"/>
  <c r="J47" i="7"/>
  <c r="K47" i="7"/>
  <c r="F30" i="4"/>
  <c r="C23" i="7"/>
  <c r="C29" i="7" s="1"/>
  <c r="G30" i="4"/>
  <c r="E23" i="7"/>
  <c r="E29" i="7" s="1"/>
  <c r="I23" i="7"/>
  <c r="J23" i="7"/>
  <c r="H30" i="4"/>
  <c r="K30" i="4"/>
  <c r="K31" i="4" s="1"/>
  <c r="D30" i="4"/>
  <c r="H23" i="7"/>
  <c r="H29" i="7" s="1"/>
  <c r="F23" i="7"/>
  <c r="F29" i="7" s="1"/>
  <c r="C37" i="1"/>
  <c r="C8" i="2" s="1"/>
  <c r="D23" i="7"/>
  <c r="D29" i="7" s="1"/>
  <c r="E30" i="4"/>
  <c r="K23" i="7"/>
  <c r="G23" i="7"/>
  <c r="G29" i="7" s="1"/>
  <c r="I30" i="4"/>
  <c r="C30" i="4"/>
  <c r="J30" i="4"/>
  <c r="J31" i="4" s="1"/>
  <c r="C24" i="11" l="1"/>
  <c r="C4" i="2"/>
  <c r="J46" i="7"/>
  <c r="J48" i="7" s="1"/>
  <c r="J20" i="18"/>
  <c r="J33" i="4"/>
  <c r="J36" i="4" s="1"/>
  <c r="K20" i="18"/>
  <c r="K33" i="4"/>
  <c r="K36" i="4" s="1"/>
  <c r="K46" i="7"/>
  <c r="K48" i="7" s="1"/>
  <c r="K34" i="7"/>
  <c r="K29" i="7"/>
  <c r="K41" i="7"/>
  <c r="J34" i="7"/>
  <c r="J29" i="7"/>
  <c r="J41" i="7"/>
  <c r="I41" i="7"/>
  <c r="I29" i="7"/>
  <c r="I34" i="7"/>
  <c r="I7" i="13" l="1"/>
  <c r="I9" i="13" s="1"/>
  <c r="I11" i="13" s="1"/>
  <c r="I13" i="13" s="1"/>
  <c r="I14" i="13" s="1"/>
  <c r="J37" i="4" s="1"/>
  <c r="J22" i="18" s="1"/>
  <c r="J7" i="13"/>
  <c r="J9" i="13" s="1"/>
  <c r="J11" i="13" s="1"/>
  <c r="J13" i="13" s="1"/>
  <c r="J14" i="13" s="1"/>
  <c r="K37" i="4" s="1"/>
  <c r="K22" i="18" s="1"/>
  <c r="C18" i="7"/>
  <c r="B5" i="18"/>
  <c r="C6" i="2"/>
  <c r="D4" i="14" l="1"/>
  <c r="B6" i="18"/>
  <c r="B21" i="18" s="1"/>
  <c r="K38" i="4"/>
  <c r="J7" i="20"/>
  <c r="J38" i="4"/>
  <c r="I7" i="20"/>
  <c r="B27" i="18" l="1"/>
  <c r="C4" i="18" s="1"/>
  <c r="B31" i="18"/>
  <c r="B36" i="18" s="1"/>
  <c r="C9" i="14"/>
  <c r="E9" i="14" s="1"/>
  <c r="C10" i="14"/>
  <c r="E10" i="14" s="1"/>
  <c r="J8" i="20"/>
  <c r="K39" i="4"/>
  <c r="K24" i="18" s="1"/>
  <c r="K33" i="18" s="1"/>
  <c r="K34" i="18" s="1"/>
  <c r="J39" i="4"/>
  <c r="J24" i="18" s="1"/>
  <c r="J33" i="18" s="1"/>
  <c r="J34" i="18" s="1"/>
  <c r="I8" i="20"/>
  <c r="C31" i="18" l="1"/>
  <c r="C32" i="18" s="1"/>
  <c r="B32" i="18"/>
  <c r="B37" i="18" s="1"/>
  <c r="J40" i="4"/>
  <c r="J19" i="7" s="1"/>
  <c r="K40" i="4"/>
  <c r="K19" i="7" s="1"/>
  <c r="D12" i="14"/>
  <c r="D13" i="14" s="1"/>
  <c r="E11" i="14"/>
  <c r="C12" i="14"/>
  <c r="C26" i="18" l="1"/>
  <c r="D14" i="14"/>
  <c r="C13" i="14"/>
  <c r="E12" i="14"/>
  <c r="C29" i="4" s="1"/>
  <c r="C31" i="4" s="1"/>
  <c r="C47" i="7"/>
  <c r="C20" i="18" l="1"/>
  <c r="C21" i="18" s="1"/>
  <c r="C46" i="7"/>
  <c r="C48" i="7" s="1"/>
  <c r="C50" i="7" s="1"/>
  <c r="C33" i="4"/>
  <c r="C36" i="4" s="1"/>
  <c r="E18" i="11"/>
  <c r="E19" i="11" s="1"/>
  <c r="C14" i="14"/>
  <c r="E13" i="14"/>
  <c r="C22" i="7"/>
  <c r="D15" i="14"/>
  <c r="C28" i="11" l="1"/>
  <c r="C29" i="11" s="1"/>
  <c r="C30" i="11" s="1"/>
  <c r="D16" i="14"/>
  <c r="D17" i="14" s="1"/>
  <c r="E14" i="14"/>
  <c r="C15" i="14"/>
  <c r="C34" i="7"/>
  <c r="C41" i="7"/>
  <c r="C42" i="7" s="1"/>
  <c r="B7" i="13"/>
  <c r="B9" i="13" s="1"/>
  <c r="B11" i="13" s="1"/>
  <c r="B13" i="13" s="1"/>
  <c r="B14" i="13" s="1"/>
  <c r="C37" i="4" s="1"/>
  <c r="C22" i="18" s="1"/>
  <c r="D26" i="18" l="1"/>
  <c r="D47" i="7"/>
  <c r="C16" i="14"/>
  <c r="E15" i="14"/>
  <c r="C23" i="18"/>
  <c r="B7" i="20"/>
  <c r="C38" i="4"/>
  <c r="D18" i="14"/>
  <c r="E16" i="14" l="1"/>
  <c r="D29" i="4" s="1"/>
  <c r="D31" i="4" s="1"/>
  <c r="C17" i="14"/>
  <c r="C39" i="4"/>
  <c r="C24" i="18" s="1"/>
  <c r="C33" i="18" s="1"/>
  <c r="B8" i="20"/>
  <c r="D19" i="14"/>
  <c r="D46" i="7" l="1"/>
  <c r="D48" i="7" s="1"/>
  <c r="D50" i="7" s="1"/>
  <c r="D20" i="18"/>
  <c r="D33" i="4"/>
  <c r="D36" i="4" s="1"/>
  <c r="D20" i="14"/>
  <c r="D21" i="14" s="1"/>
  <c r="D22" i="7"/>
  <c r="E17" i="14"/>
  <c r="C18" i="14"/>
  <c r="C34" i="18"/>
  <c r="C36" i="18"/>
  <c r="C37" i="18" s="1"/>
  <c r="C40" i="4"/>
  <c r="C19" i="7" s="1"/>
  <c r="C21" i="7" s="1"/>
  <c r="C25" i="18"/>
  <c r="C27" i="18" s="1"/>
  <c r="E26" i="18" l="1"/>
  <c r="E47" i="7"/>
  <c r="D18" i="7"/>
  <c r="C35" i="7"/>
  <c r="C36" i="7" s="1"/>
  <c r="C25" i="7"/>
  <c r="D22" i="14"/>
  <c r="D23" i="14" s="1"/>
  <c r="D24" i="14" s="1"/>
  <c r="D25" i="14" s="1"/>
  <c r="D34" i="7"/>
  <c r="D41" i="7"/>
  <c r="D42" i="7" s="1"/>
  <c r="D4" i="18"/>
  <c r="D21" i="18" s="1"/>
  <c r="C14" i="7"/>
  <c r="C7" i="13"/>
  <c r="C9" i="13" s="1"/>
  <c r="C11" i="13" s="1"/>
  <c r="C13" i="13" s="1"/>
  <c r="C14" i="13" s="1"/>
  <c r="D37" i="4" s="1"/>
  <c r="D22" i="18" s="1"/>
  <c r="C19" i="14"/>
  <c r="E18" i="14"/>
  <c r="C15" i="7" l="1"/>
  <c r="C28" i="7"/>
  <c r="C30" i="7" s="1"/>
  <c r="F26" i="18"/>
  <c r="D26" i="14"/>
  <c r="D27" i="14" s="1"/>
  <c r="D28" i="14" s="1"/>
  <c r="D29" i="14" s="1"/>
  <c r="E19" i="14"/>
  <c r="C20" i="14"/>
  <c r="F47" i="7"/>
  <c r="D23" i="18"/>
  <c r="D31" i="18"/>
  <c r="D38" i="4"/>
  <c r="C7" i="20"/>
  <c r="G26" i="18" l="1"/>
  <c r="G47" i="7"/>
  <c r="C21" i="14"/>
  <c r="E20" i="14"/>
  <c r="E29" i="4" s="1"/>
  <c r="E31" i="4" s="1"/>
  <c r="C8" i="20"/>
  <c r="D39" i="4"/>
  <c r="D24" i="18" s="1"/>
  <c r="D33" i="18" s="1"/>
  <c r="D34" i="18" s="1"/>
  <c r="D32" i="18"/>
  <c r="D30" i="14"/>
  <c r="D31" i="14" s="1"/>
  <c r="D32" i="14" s="1"/>
  <c r="D33" i="14" s="1"/>
  <c r="E20" i="18" l="1"/>
  <c r="E33" i="4"/>
  <c r="E36" i="4" s="1"/>
  <c r="E46" i="7"/>
  <c r="E48" i="7" s="1"/>
  <c r="E50" i="7" s="1"/>
  <c r="D36" i="18"/>
  <c r="D37" i="18" s="1"/>
  <c r="H26" i="18"/>
  <c r="D34" i="14"/>
  <c r="D35" i="14" s="1"/>
  <c r="D36" i="14" s="1"/>
  <c r="I47" i="7" s="1"/>
  <c r="H47" i="7"/>
  <c r="E22" i="7"/>
  <c r="E21" i="14"/>
  <c r="C22" i="14"/>
  <c r="D25" i="18"/>
  <c r="D27" i="18" s="1"/>
  <c r="D40" i="4"/>
  <c r="D19" i="7" s="1"/>
  <c r="D21" i="7" s="1"/>
  <c r="E4" i="18" l="1"/>
  <c r="E21" i="18" s="1"/>
  <c r="D14" i="7"/>
  <c r="I26" i="18"/>
  <c r="E34" i="7"/>
  <c r="E41" i="7"/>
  <c r="E42" i="7" s="1"/>
  <c r="D7" i="13"/>
  <c r="D9" i="13" s="1"/>
  <c r="D11" i="13" s="1"/>
  <c r="D13" i="13" s="1"/>
  <c r="D14" i="13" s="1"/>
  <c r="E37" i="4" s="1"/>
  <c r="E22" i="18" s="1"/>
  <c r="E18" i="7"/>
  <c r="D35" i="7"/>
  <c r="D36" i="7" s="1"/>
  <c r="D25" i="7"/>
  <c r="C23" i="14"/>
  <c r="E22" i="14"/>
  <c r="D28" i="7" l="1"/>
  <c r="D30" i="7" s="1"/>
  <c r="D15" i="7"/>
  <c r="D7" i="20"/>
  <c r="E38" i="4"/>
  <c r="C24" i="14"/>
  <c r="E23" i="14"/>
  <c r="E31" i="18"/>
  <c r="E23" i="18"/>
  <c r="E24" i="14" l="1"/>
  <c r="F29" i="4" s="1"/>
  <c r="F31" i="4" s="1"/>
  <c r="C25" i="14"/>
  <c r="E39" i="4"/>
  <c r="E24" i="18" s="1"/>
  <c r="E33" i="18" s="1"/>
  <c r="E34" i="18" s="1"/>
  <c r="D8" i="20"/>
  <c r="E32" i="18"/>
  <c r="F46" i="7" l="1"/>
  <c r="F48" i="7" s="1"/>
  <c r="F50" i="7" s="1"/>
  <c r="F20" i="18"/>
  <c r="F33" i="4"/>
  <c r="F36" i="4" s="1"/>
  <c r="E40" i="4"/>
  <c r="E19" i="7" s="1"/>
  <c r="E21" i="7" s="1"/>
  <c r="C26" i="14"/>
  <c r="F22" i="7"/>
  <c r="E25" i="14"/>
  <c r="E25" i="18"/>
  <c r="E27" i="18" s="1"/>
  <c r="E36" i="18"/>
  <c r="E37" i="18" s="1"/>
  <c r="E35" i="7" l="1"/>
  <c r="E36" i="7" s="1"/>
  <c r="F18" i="7"/>
  <c r="E25" i="7"/>
  <c r="E7" i="13"/>
  <c r="E9" i="13" s="1"/>
  <c r="E11" i="13" s="1"/>
  <c r="E13" i="13" s="1"/>
  <c r="E14" i="13" s="1"/>
  <c r="F37" i="4" s="1"/>
  <c r="F22" i="18" s="1"/>
  <c r="E14" i="7"/>
  <c r="F4" i="18"/>
  <c r="F21" i="18" s="1"/>
  <c r="E26" i="14"/>
  <c r="C27" i="14"/>
  <c r="F34" i="7"/>
  <c r="F41" i="7"/>
  <c r="F42" i="7" s="1"/>
  <c r="E28" i="7" l="1"/>
  <c r="E30" i="7" s="1"/>
  <c r="E15" i="7"/>
  <c r="F31" i="18"/>
  <c r="F23" i="18"/>
  <c r="E7" i="20"/>
  <c r="F38" i="4"/>
  <c r="C28" i="14"/>
  <c r="E27" i="14"/>
  <c r="F39" i="4" l="1"/>
  <c r="F24" i="18" s="1"/>
  <c r="F33" i="18" s="1"/>
  <c r="F34" i="18" s="1"/>
  <c r="E8" i="20"/>
  <c r="F32" i="18"/>
  <c r="E28" i="14"/>
  <c r="G29" i="4" s="1"/>
  <c r="G31" i="4" s="1"/>
  <c r="C29" i="14"/>
  <c r="G22" i="7"/>
  <c r="G46" i="7" l="1"/>
  <c r="G48" i="7" s="1"/>
  <c r="G50" i="7" s="1"/>
  <c r="G20" i="18"/>
  <c r="G33" i="4"/>
  <c r="G36" i="4" s="1"/>
  <c r="F36" i="18"/>
  <c r="F37" i="18" s="1"/>
  <c r="F40" i="4"/>
  <c r="F19" i="7" s="1"/>
  <c r="F21" i="7" s="1"/>
  <c r="G41" i="7"/>
  <c r="G42" i="7" s="1"/>
  <c r="F43" i="7" s="1"/>
  <c r="G34" i="7"/>
  <c r="E29" i="14"/>
  <c r="C30" i="14"/>
  <c r="F25" i="18"/>
  <c r="F27" i="18" s="1"/>
  <c r="F7" i="13" l="1"/>
  <c r="F9" i="13" s="1"/>
  <c r="F11" i="13" s="1"/>
  <c r="F13" i="13" s="1"/>
  <c r="F14" i="13" s="1"/>
  <c r="G37" i="4" s="1"/>
  <c r="G22" i="18" s="1"/>
  <c r="G4" i="18"/>
  <c r="G21" i="18" s="1"/>
  <c r="F14" i="7"/>
  <c r="F25" i="7"/>
  <c r="F35" i="7"/>
  <c r="F36" i="7" s="1"/>
  <c r="G18" i="7"/>
  <c r="E30" i="14"/>
  <c r="C31" i="14"/>
  <c r="F15" i="7" l="1"/>
  <c r="F28" i="7"/>
  <c r="F30" i="7" s="1"/>
  <c r="E31" i="14"/>
  <c r="C32" i="14"/>
  <c r="G31" i="18"/>
  <c r="G23" i="18"/>
  <c r="G38" i="4"/>
  <c r="F7" i="20"/>
  <c r="G32" i="18" l="1"/>
  <c r="E32" i="14"/>
  <c r="H29" i="4" s="1"/>
  <c r="H31" i="4" s="1"/>
  <c r="H22" i="7"/>
  <c r="C33" i="14"/>
  <c r="F8" i="20"/>
  <c r="G39" i="4"/>
  <c r="G24" i="18" s="1"/>
  <c r="G33" i="18" s="1"/>
  <c r="G34" i="18" s="1"/>
  <c r="G40" i="4" l="1"/>
  <c r="G19" i="7" s="1"/>
  <c r="G21" i="7" s="1"/>
  <c r="H18" i="7" s="1"/>
  <c r="G25" i="18"/>
  <c r="H33" i="4"/>
  <c r="H36" i="4" s="1"/>
  <c r="H20" i="18"/>
  <c r="H46" i="7"/>
  <c r="H48" i="7" s="1"/>
  <c r="H50" i="7" s="1"/>
  <c r="F51" i="7" s="1"/>
  <c r="E33" i="14"/>
  <c r="C34" i="14"/>
  <c r="H41" i="7"/>
  <c r="H34" i="7"/>
  <c r="G36" i="18"/>
  <c r="G37" i="18" s="1"/>
  <c r="G27" i="18" l="1"/>
  <c r="H4" i="18" s="1"/>
  <c r="H21" i="18" s="1"/>
  <c r="G25" i="7"/>
  <c r="G35" i="7"/>
  <c r="G36" i="7" s="1"/>
  <c r="C35" i="14"/>
  <c r="E34" i="14"/>
  <c r="G7" i="13"/>
  <c r="G9" i="13" s="1"/>
  <c r="G11" i="13" s="1"/>
  <c r="G13" i="13" s="1"/>
  <c r="G14" i="13" s="1"/>
  <c r="H37" i="4" s="1"/>
  <c r="H22" i="18" s="1"/>
  <c r="H23" i="18" l="1"/>
  <c r="H31" i="18"/>
  <c r="H32" i="18" s="1"/>
  <c r="G14" i="7"/>
  <c r="G15" i="7" s="1"/>
  <c r="C36" i="14"/>
  <c r="E36" i="14" s="1"/>
  <c r="E35" i="14"/>
  <c r="G7" i="20"/>
  <c r="H38" i="4"/>
  <c r="G28" i="7" l="1"/>
  <c r="G30" i="7" s="1"/>
  <c r="I29" i="4"/>
  <c r="I31" i="4" s="1"/>
  <c r="I20" i="18" s="1"/>
  <c r="G8" i="20"/>
  <c r="H39" i="4"/>
  <c r="H24" i="18" s="1"/>
  <c r="I46" i="7" l="1"/>
  <c r="I48" i="7" s="1"/>
  <c r="I33" i="4"/>
  <c r="I36" i="4" s="1"/>
  <c r="H33" i="18"/>
  <c r="H25" i="18"/>
  <c r="H27" i="18" s="1"/>
  <c r="H40" i="4"/>
  <c r="H19" i="7" s="1"/>
  <c r="H21" i="7" s="1"/>
  <c r="H7" i="13" l="1"/>
  <c r="H9" i="13" s="1"/>
  <c r="H11" i="13" s="1"/>
  <c r="H13" i="13" s="1"/>
  <c r="H14" i="13" s="1"/>
  <c r="I37" i="4" s="1"/>
  <c r="I22" i="18" s="1"/>
  <c r="I4" i="18"/>
  <c r="I21" i="18" s="1"/>
  <c r="H14" i="7"/>
  <c r="I18" i="7"/>
  <c r="H35" i="7"/>
  <c r="H36" i="7" s="1"/>
  <c r="H25" i="7"/>
  <c r="H34" i="18"/>
  <c r="H36" i="18"/>
  <c r="H37" i="18" s="1"/>
  <c r="H7" i="20"/>
  <c r="H15" i="7" l="1"/>
  <c r="H28" i="7"/>
  <c r="H30" i="7" s="1"/>
  <c r="I38" i="4"/>
  <c r="I39" i="4" s="1"/>
  <c r="I24" i="18" s="1"/>
  <c r="I33" i="18" s="1"/>
  <c r="I34" i="18" s="1"/>
  <c r="I23" i="18"/>
  <c r="I31" i="18"/>
  <c r="H8" i="20" l="1"/>
  <c r="I25" i="18"/>
  <c r="I36" i="18"/>
  <c r="I37" i="18" s="1"/>
  <c r="I32" i="18"/>
  <c r="I40" i="4"/>
  <c r="I19" i="7" s="1"/>
  <c r="I21" i="7" s="1"/>
  <c r="I27" i="18" l="1"/>
  <c r="I14" i="7" s="1"/>
  <c r="J18" i="7"/>
  <c r="J21" i="7" s="1"/>
  <c r="I35" i="7"/>
  <c r="I36" i="7" s="1"/>
  <c r="I25" i="7"/>
  <c r="J4" i="18" l="1"/>
  <c r="I15" i="7"/>
  <c r="I28" i="7"/>
  <c r="I30" i="7" s="1"/>
  <c r="J35" i="7"/>
  <c r="J36" i="7" s="1"/>
  <c r="K18" i="7"/>
  <c r="K21" i="7" s="1"/>
  <c r="J25" i="7"/>
  <c r="J21" i="18" l="1"/>
  <c r="J23" i="18" s="1"/>
  <c r="J25" i="18" s="1"/>
  <c r="J27" i="18" s="1"/>
  <c r="J31" i="18"/>
  <c r="J36" i="18" s="1"/>
  <c r="J37" i="18" s="1"/>
  <c r="K35" i="7"/>
  <c r="K36" i="7" s="1"/>
  <c r="F37" i="7" s="1"/>
  <c r="K25" i="7"/>
  <c r="J14" i="7" l="1"/>
  <c r="J15" i="7" s="1"/>
  <c r="K4" i="18"/>
  <c r="K21" i="18" s="1"/>
  <c r="K23" i="18" s="1"/>
  <c r="K25" i="18" s="1"/>
  <c r="J32" i="18"/>
  <c r="K31" i="18"/>
  <c r="K32" i="18" s="1"/>
  <c r="J28" i="7" l="1"/>
  <c r="J30" i="7" s="1"/>
  <c r="K27" i="18"/>
  <c r="K14" i="7" s="1"/>
  <c r="K36" i="18"/>
  <c r="K37" i="18" s="1"/>
  <c r="L37" i="18" s="1"/>
  <c r="K15" i="7" l="1"/>
  <c r="K28" i="7"/>
  <c r="K30" i="7" s="1"/>
  <c r="F31" i="7" s="1"/>
</calcChain>
</file>

<file path=xl/sharedStrings.xml><?xml version="1.0" encoding="utf-8"?>
<sst xmlns="http://schemas.openxmlformats.org/spreadsheetml/2006/main" count="402" uniqueCount="315">
  <si>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</si>
  <si>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</si>
  <si>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</si>
  <si>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</si>
  <si>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</si>
  <si>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</si>
  <si>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</si>
  <si>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</si>
  <si>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</si>
  <si>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</si>
  <si>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</si>
  <si>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</si>
  <si>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</si>
  <si>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</si>
  <si>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</si>
  <si>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</si>
  <si>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</si>
  <si>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</si>
  <si>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</si>
  <si>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</si>
  <si>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</si>
  <si>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</si>
  <si>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</si>
  <si>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</si>
  <si>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</si>
  <si>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</si>
  <si>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</si>
  <si>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</si>
  <si>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</si>
  <si>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</si>
  <si>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</si>
  <si>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</si>
  <si>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</si>
  <si>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</si>
  <si>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</si>
  <si>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</si>
  <si>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</si>
  <si>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</si>
  <si>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</si>
  <si>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</si>
  <si>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</si>
  <si>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</si>
  <si>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</si>
  <si>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</si>
  <si>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</si>
  <si>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</si>
  <si>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</si>
  <si>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</si>
  <si>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</si>
  <si>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i.</t>
  </si>
  <si>
    <t>ii.</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</si>
  <si>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</si>
  <si>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</si>
  <si>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</si>
  <si>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</si>
  <si>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</si>
  <si>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</si>
  <si>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</si>
  <si>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</si>
  <si>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</si>
  <si>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</si>
  <si>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</si>
  <si>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</si>
  <si>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</si>
  <si>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</si>
  <si>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</si>
  <si>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</si>
  <si>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</si>
  <si>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Depreciation</t>
  </si>
  <si>
    <t>Fixed cost</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</si>
  <si>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</si>
  <si>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</si>
  <si>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</si>
  <si>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</si>
  <si>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</si>
  <si>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</si>
  <si>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</si>
  <si>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</si>
  <si>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</si>
  <si>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</si>
  <si>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</si>
  <si>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</si>
  <si>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</si>
  <si>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</si>
  <si>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</si>
  <si>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</si>
  <si>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</si>
  <si>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</si>
  <si>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</si>
  <si>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</si>
  <si>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</si>
  <si>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</si>
  <si>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</si>
  <si>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</si>
  <si>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</si>
  <si>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</si>
  <si>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</si>
  <si>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</si>
  <si>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</si>
  <si>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</si>
  <si>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</si>
  <si>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</si>
  <si>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</si>
  <si>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</si>
  <si>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</si>
  <si>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</si>
  <si>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</si>
  <si>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</si>
  <si>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</si>
  <si>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</si>
  <si>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</si>
  <si>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</si>
  <si>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</si>
  <si>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</si>
  <si>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</si>
  <si>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</si>
  <si>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</si>
  <si>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</si>
  <si>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</si>
  <si>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</si>
  <si>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</si>
  <si>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</si>
  <si>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</si>
  <si>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</si>
  <si>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</si>
  <si>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</si>
  <si>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</si>
  <si>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</si>
  <si>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</si>
  <si>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</si>
  <si>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</si>
  <si>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</si>
  <si>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</si>
  <si>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</si>
  <si>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Instalment of loan</t>
  </si>
  <si>
    <t>A</t>
  </si>
  <si>
    <t>B</t>
  </si>
  <si>
    <t>Average</t>
  </si>
  <si>
    <t>Fixed asset coverage ratio</t>
  </si>
  <si>
    <t>Fixed assets</t>
  </si>
  <si>
    <t>Creditors</t>
  </si>
  <si>
    <t>opening balance</t>
  </si>
  <si>
    <t>Add: Sales realizations</t>
  </si>
  <si>
    <t>Less: Interest payments</t>
  </si>
  <si>
    <t>Working capital</t>
  </si>
  <si>
    <t>Interest on WC Loan</t>
  </si>
  <si>
    <t>Site Development</t>
  </si>
  <si>
    <t>Sub Total</t>
  </si>
  <si>
    <t>Total depreciation for the year</t>
  </si>
  <si>
    <t>Preliminary Expense</t>
  </si>
  <si>
    <t>Less: Payment made to creditors of previos year</t>
  </si>
  <si>
    <t>Add: Receipts from debtors of previos year</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</si>
  <si>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</si>
  <si>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</si>
  <si>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</si>
  <si>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</si>
  <si>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</si>
  <si>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</si>
  <si>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</si>
  <si>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</si>
  <si>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</si>
  <si>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</si>
  <si>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</si>
  <si>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</si>
  <si>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</si>
  <si>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</si>
  <si>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</si>
  <si>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</si>
  <si>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</si>
  <si>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</si>
  <si>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Interest on TL</t>
  </si>
  <si>
    <t>Add: Capital</t>
  </si>
  <si>
    <t>Add: Loan disbursement</t>
  </si>
  <si>
    <t>Less: Purchase of asset</t>
  </si>
  <si>
    <t>Contents Table</t>
  </si>
  <si>
    <t>Contents</t>
  </si>
  <si>
    <t>Link</t>
  </si>
  <si>
    <t>Ann 1'!A1</t>
  </si>
  <si>
    <t>Ann 2'!A1</t>
  </si>
  <si>
    <t>Ann 4'!A1</t>
  </si>
  <si>
    <t>Ann 5'!A1</t>
  </si>
  <si>
    <t>Ann 9'!A1</t>
  </si>
  <si>
    <t>Ann 10'!A1</t>
  </si>
  <si>
    <t>Ann 11'!A1</t>
  </si>
  <si>
    <t>Ann 13'!A1</t>
  </si>
  <si>
    <t>Assumptions!A1</t>
  </si>
  <si>
    <t>Budgets!A1</t>
  </si>
  <si>
    <t>S. no.</t>
  </si>
  <si>
    <t>Assumptions</t>
  </si>
  <si>
    <t>DPR without subsidy</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</si>
  <si>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</si>
  <si>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</si>
  <si>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</si>
  <si>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</si>
  <si>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</si>
  <si>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</si>
  <si>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</si>
  <si>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</si>
  <si>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</si>
  <si>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</si>
  <si>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</si>
  <si>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</si>
  <si>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</si>
  <si>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</si>
  <si>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</si>
  <si>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</si>
  <si>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</si>
  <si>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</si>
  <si>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</si>
  <si>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Less: Pre incorporation expense</t>
  </si>
  <si>
    <t>Less: Fixed costs</t>
  </si>
  <si>
    <t>Total Financial expense</t>
  </si>
  <si>
    <t>Interest on working capital</t>
  </si>
  <si>
    <t>Contribution per unit</t>
  </si>
  <si>
    <t>Fixed charges for office</t>
  </si>
  <si>
    <t>Fixed charge for office</t>
  </si>
  <si>
    <t>2. assumed that 30 days of sales are average debtors maintained by the business</t>
  </si>
  <si>
    <t>Annexure 14 - Cash flow statement</t>
  </si>
  <si>
    <t>Ann 14'!A1</t>
  </si>
  <si>
    <t>Income Tax/ savings on tax</t>
  </si>
  <si>
    <t>Insurance</t>
  </si>
  <si>
    <t>1. asssumed that 60 days of purchases are average creditors maintained</t>
  </si>
  <si>
    <t>Distribution of profits (80%)</t>
  </si>
  <si>
    <t>Transportation charges</t>
  </si>
  <si>
    <t xml:space="preserve">Complete drone </t>
  </si>
  <si>
    <t>Charging Hubs</t>
  </si>
  <si>
    <t>Extra Propellers</t>
  </si>
  <si>
    <t>Extra Nozzles</t>
  </si>
  <si>
    <t>1. Plant and machinery</t>
  </si>
  <si>
    <t>Pilot Licence cost amortization</t>
  </si>
  <si>
    <t>Vehicle cost</t>
  </si>
  <si>
    <t>Unit cost</t>
  </si>
  <si>
    <t>DG Set - 2kw</t>
  </si>
  <si>
    <t>Number of Complete drones</t>
  </si>
  <si>
    <t>Number of Charging Hubs</t>
  </si>
  <si>
    <t>Number of Extra Propeller</t>
  </si>
  <si>
    <t>Number of Extra Nozzle</t>
  </si>
  <si>
    <t>Number of Vehicles</t>
  </si>
  <si>
    <t>Cost of Vehicles</t>
  </si>
  <si>
    <t>Number of pilots</t>
  </si>
  <si>
    <t>Number of Co-Pilot</t>
  </si>
  <si>
    <t>Pilot Salary per month</t>
  </si>
  <si>
    <t>Extra battery cost</t>
  </si>
  <si>
    <t>Service centre rent with electricity</t>
  </si>
  <si>
    <t>Mileage (kms/ltr)</t>
  </si>
  <si>
    <t>Co-Pilot Salary</t>
  </si>
  <si>
    <t>Number of extra battery (set of 2 is considered as 1)</t>
  </si>
  <si>
    <t>Drone insurance cost for 1 year</t>
  </si>
  <si>
    <t>Basic Inputs for Drone service provider</t>
  </si>
  <si>
    <t>Working capital requirement (Rs)</t>
  </si>
  <si>
    <t>(for 6 months upto the date of commencement of commercial production)</t>
  </si>
  <si>
    <t>Pilot Licence cost (cost per licence)</t>
  </si>
  <si>
    <t>Number of pilot Licence</t>
  </si>
  <si>
    <t>Cost of complete Drone</t>
  </si>
  <si>
    <t>Cost of Charging Hubs</t>
  </si>
  <si>
    <t>Cost of Extra propellers</t>
  </si>
  <si>
    <t>Cost of Extra Nozzle</t>
  </si>
  <si>
    <t>Number of DGSets</t>
  </si>
  <si>
    <t>Cost of DG Sets</t>
  </si>
  <si>
    <t>Tenure opf pilot licence (in years)</t>
  </si>
  <si>
    <t>Maintenance cost</t>
  </si>
  <si>
    <t>Insurance cost</t>
  </si>
  <si>
    <t>-Pilot salaries</t>
  </si>
  <si>
    <t>-Co pilot salaries</t>
  </si>
  <si>
    <t>-Driver salaries</t>
  </si>
  <si>
    <t>Drone fixed cost information</t>
  </si>
  <si>
    <t>Manpower related information</t>
  </si>
  <si>
    <t>Number of Drivers</t>
  </si>
  <si>
    <t>Revenue for spray per customer (per acre)</t>
  </si>
  <si>
    <t>Number of kilometers travelled (Annually)</t>
  </si>
  <si>
    <t>Car maintenance expense per annum</t>
  </si>
  <si>
    <t>Percentage increase in revenue per annum</t>
  </si>
  <si>
    <t>Operational Capacity (%)</t>
  </si>
  <si>
    <t>Drone maintenance expense per drone per annum</t>
  </si>
  <si>
    <t>Working hours in a day</t>
  </si>
  <si>
    <t>Working days in a year</t>
  </si>
  <si>
    <t>Time to spray per acre (minutes)</t>
  </si>
  <si>
    <t>Preliminary expense (expense for incorporating company or organization)</t>
  </si>
  <si>
    <t>Extra Battery cycle</t>
  </si>
  <si>
    <t>1 Cycle charge can work till (minutes)</t>
  </si>
  <si>
    <t>Total operating minutes in life (100% capacity)</t>
  </si>
  <si>
    <t>Total operating minutes a year (100% capacity)</t>
  </si>
  <si>
    <t>Acres/ day</t>
  </si>
  <si>
    <t>Spray in 1 full charge (20 Minutes) - 75% Operational efficiency</t>
  </si>
  <si>
    <t>Battery Cost per day</t>
  </si>
  <si>
    <t>1. Number of Acres covered  annually for spraying purposes</t>
  </si>
  <si>
    <t>Less: Insurance cost</t>
  </si>
  <si>
    <t>Less: Maintenance cost</t>
  </si>
  <si>
    <t>Less: Salaries payments</t>
  </si>
  <si>
    <t>Less: Payment of transportation charges</t>
  </si>
  <si>
    <t>Less: Fixed office charges</t>
  </si>
  <si>
    <t>Administrative salaries and wages and other expenses</t>
  </si>
  <si>
    <t>Battery Life depreciation</t>
  </si>
  <si>
    <t>Less: Extra battery cost</t>
  </si>
  <si>
    <t>Pilot Licence</t>
  </si>
  <si>
    <t>Less: Purchase of pilot licence</t>
  </si>
  <si>
    <t>- Transportation charges</t>
  </si>
  <si>
    <t>Spray services</t>
  </si>
  <si>
    <t>Sales price per acre spray</t>
  </si>
  <si>
    <t>- Extra battery cost</t>
  </si>
  <si>
    <t>Maintenance charges</t>
  </si>
  <si>
    <t>Fixed Cost</t>
  </si>
  <si>
    <t>BEP in acres</t>
  </si>
  <si>
    <t>BEP in percentage</t>
  </si>
  <si>
    <t>It is assumed that drone company is providing the services for hiring of drone. The pesticide cost is to be borne by hirer separately</t>
  </si>
  <si>
    <t>It is assumed that 80% of the profit earned during the year is distriubuted amongst the stakeholders</t>
  </si>
  <si>
    <t>Driver Salary per month</t>
  </si>
  <si>
    <t>Miscellaneous charges</t>
  </si>
  <si>
    <t>Miscellaneous Charges</t>
  </si>
  <si>
    <t>Less: Miscellaneous charges</t>
  </si>
  <si>
    <t>Fixed charge for office per annum- Rent</t>
  </si>
  <si>
    <t>Miscellaneous expense</t>
  </si>
  <si>
    <t>- Miscellaneous expense</t>
  </si>
  <si>
    <t>3 months</t>
  </si>
  <si>
    <t>For the first year of operation the break-even capacity comes at 29.03%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</si>
</sst>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000000_);_(* \(#,##0.000000000\);_(* &quot;-&quot;??_);_(@_)"/>
    <numFmt numFmtId="166" formatCode="0.000"/>
    <numFmt numFmtId="167" formatCode="_(* #,##0.0000_);_(* \(#,##0.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
      <i/>
      <sz val="11"/>
      <color theme="1"/>
      <name val="Adobe Devanagari"/>
      <family val="1"/>
    </font>
    <font>
      <b/>
      <u/>
      <sz val="11"/>
      <color theme="1"/>
      <name val="Adobe Devanagari"/>
      <family val="1"/>
    </font>
  </fonts>
  <fills count="3">
    <fill>
      <patternFill patternType="none"/>
    </fill>
    <fill>
      <patternFill patternType="gray125"/>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24">
    <xf numFmtId="0" fontId="0" fillId="0" borderId="0" xfId="0"/>
    <xf numFmtId="2" fontId="0" fillId="0" borderId="0" xfId="0" applyNumberFormat="1"/>
    <xf numFmtId="0" fontId="3" fillId="0" borderId="0" xfId="0" applyFont="1"/>
    <xf numFmtId="0" fontId="2" fillId="0" borderId="0" xfId="0" applyFont="1"/>
    <xf numFmtId="0" fontId="0" fillId="0" borderId="0" xfId="0" quotePrefix="1"/>
    <xf numFmtId="166" fontId="0" fillId="0" borderId="0" xfId="0" applyNumberFormat="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2"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43" fontId="6" fillId="0" borderId="0" xfId="0" applyNumberFormat="1" applyFont="1"/>
    <xf numFmtId="0" fontId="6" fillId="0" borderId="12" xfId="0" applyFont="1" applyBorder="1" applyAlignment="1">
      <alignment horizontal="left"/>
    </xf>
    <xf numFmtId="0" fontId="6" fillId="0" borderId="12" xfId="0" applyFont="1" applyBorder="1"/>
    <xf numFmtId="43" fontId="6" fillId="0" borderId="10" xfId="0" applyNumberFormat="1" applyFont="1" applyBorder="1"/>
    <xf numFmtId="0" fontId="6" fillId="0" borderId="0" xfId="0" applyFont="1" applyAlignment="1">
      <alignment horizontal="left"/>
    </xf>
    <xf numFmtId="0" fontId="8" fillId="2" borderId="2" xfId="0" applyFont="1" applyFill="1" applyBorder="1"/>
    <xf numFmtId="0" fontId="6" fillId="2" borderId="3" xfId="0" applyFont="1" applyFill="1" applyBorder="1"/>
    <xf numFmtId="0" fontId="6" fillId="2" borderId="4" xfId="0" applyFont="1" applyFill="1" applyBorder="1"/>
    <xf numFmtId="0" fontId="6" fillId="2" borderId="1" xfId="0" applyFont="1" applyFill="1" applyBorder="1"/>
    <xf numFmtId="0" fontId="6" fillId="2"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5" xfId="0" applyFont="1" applyBorder="1"/>
    <xf numFmtId="0" fontId="6" fillId="0" borderId="0" xfId="0" applyFont="1" applyBorder="1" applyAlignment="1">
      <alignment horizontal="left"/>
    </xf>
    <xf numFmtId="0" fontId="5" fillId="0" borderId="2" xfId="0" applyFont="1" applyBorder="1"/>
    <xf numFmtId="0" fontId="5" fillId="0" borderId="3" xfId="0" applyFont="1" applyBorder="1"/>
    <xf numFmtId="164" fontId="5" fillId="0" borderId="4" xfId="0" applyNumberFormat="1" applyFont="1" applyBorder="1"/>
    <xf numFmtId="164" fontId="6" fillId="0" borderId="0" xfId="0" applyNumberFormat="1" applyFont="1"/>
    <xf numFmtId="0" fontId="5" fillId="2" borderId="2" xfId="0" applyFont="1" applyFill="1" applyBorder="1"/>
    <xf numFmtId="0" fontId="5" fillId="2" borderId="3" xfId="0" applyFont="1" applyFill="1" applyBorder="1"/>
    <xf numFmtId="0" fontId="5" fillId="2" borderId="4" xfId="0" applyFont="1" applyFill="1" applyBorder="1"/>
    <xf numFmtId="164" fontId="6" fillId="0" borderId="1" xfId="1" applyNumberFormat="1" applyFont="1" applyBorder="1"/>
    <xf numFmtId="0" fontId="6" fillId="0" borderId="1" xfId="0" applyFont="1" applyFill="1" applyBorder="1"/>
    <xf numFmtId="0" fontId="5" fillId="2" borderId="1" xfId="0" applyFont="1" applyFill="1" applyBorder="1" applyAlignment="1">
      <alignment horizontal="center"/>
    </xf>
    <xf numFmtId="0" fontId="5" fillId="0" borderId="6" xfId="0" applyFont="1" applyBorder="1"/>
    <xf numFmtId="0" fontId="6" fillId="0" borderId="14"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5" fillId="2" borderId="1" xfId="0" applyFont="1" applyFill="1" applyBorder="1" applyAlignment="1">
      <alignment horizontal="center" vertical="center"/>
    </xf>
    <xf numFmtId="0" fontId="6" fillId="2" borderId="8" xfId="0" applyFont="1" applyFill="1" applyBorder="1"/>
    <xf numFmtId="0" fontId="6" fillId="2" borderId="0" xfId="0" applyFont="1" applyFill="1" applyBorder="1"/>
    <xf numFmtId="0" fontId="6" fillId="2" borderId="11" xfId="0" applyFont="1" applyFill="1" applyBorder="1"/>
    <xf numFmtId="0" fontId="6" fillId="2" borderId="9" xfId="0" applyFont="1" applyFill="1" applyBorder="1"/>
    <xf numFmtId="164" fontId="6" fillId="2" borderId="9" xfId="0" applyNumberFormat="1" applyFont="1" applyFill="1" applyBorder="1"/>
    <xf numFmtId="0" fontId="8" fillId="0" borderId="0" xfId="0" applyFont="1"/>
    <xf numFmtId="164" fontId="6" fillId="0" borderId="1" xfId="0" applyNumberFormat="1" applyFont="1" applyBorder="1"/>
    <xf numFmtId="2" fontId="6" fillId="0" borderId="1" xfId="0" applyNumberFormat="1" applyFont="1" applyBorder="1"/>
    <xf numFmtId="2" fontId="6" fillId="0" borderId="1" xfId="1" applyNumberFormat="1" applyFont="1" applyBorder="1"/>
    <xf numFmtId="0" fontId="5" fillId="0" borderId="1" xfId="0" applyFont="1" applyBorder="1"/>
    <xf numFmtId="9" fontId="5"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6" fillId="2" borderId="1" xfId="0" applyFont="1" applyFill="1" applyBorder="1" applyAlignment="1">
      <alignment horizontal="center"/>
    </xf>
    <xf numFmtId="164" fontId="6" fillId="0" borderId="0" xfId="1" applyNumberFormat="1" applyFont="1"/>
    <xf numFmtId="0" fontId="6" fillId="0" borderId="0" xfId="0" quotePrefix="1" applyFont="1"/>
    <xf numFmtId="0" fontId="8" fillId="2" borderId="0" xfId="0" applyFont="1" applyFill="1"/>
    <xf numFmtId="0" fontId="6" fillId="2" borderId="0" xfId="0" applyFont="1" applyFill="1"/>
    <xf numFmtId="10" fontId="6" fillId="0" borderId="1" xfId="2" applyNumberFormat="1" applyFont="1" applyBorder="1"/>
    <xf numFmtId="166" fontId="6" fillId="0" borderId="0" xfId="0" applyNumberFormat="1" applyFont="1"/>
    <xf numFmtId="0" fontId="9" fillId="0" borderId="0" xfId="0" applyFont="1"/>
    <xf numFmtId="164" fontId="10" fillId="0" borderId="0" xfId="1" applyNumberFormat="1" applyFont="1"/>
    <xf numFmtId="10" fontId="10" fillId="0" borderId="0" xfId="1" applyNumberFormat="1" applyFont="1"/>
    <xf numFmtId="0" fontId="10" fillId="0" borderId="0" xfId="0" applyFont="1"/>
    <xf numFmtId="165" fontId="10" fillId="0" borderId="0" xfId="1" applyNumberFormat="1" applyFont="1"/>
    <xf numFmtId="167" fontId="6" fillId="0" borderId="0" xfId="0" applyNumberFormat="1" applyFont="1"/>
    <xf numFmtId="43" fontId="5" fillId="0" borderId="4" xfId="0" applyNumberFormat="1" applyFont="1" applyBorder="1"/>
    <xf numFmtId="164" fontId="6" fillId="0" borderId="7" xfId="1" applyNumberFormat="1" applyFont="1" applyBorder="1" applyAlignment="1"/>
    <xf numFmtId="164" fontId="6" fillId="0" borderId="9" xfId="1" applyNumberFormat="1" applyFont="1" applyBorder="1" applyAlignment="1"/>
    <xf numFmtId="0" fontId="6" fillId="0" borderId="16" xfId="0" applyFont="1" applyBorder="1"/>
    <xf numFmtId="0" fontId="6" fillId="0" borderId="17" xfId="0" applyFont="1" applyBorder="1"/>
    <xf numFmtId="0" fontId="6" fillId="0" borderId="15" xfId="0" applyFont="1" applyBorder="1"/>
    <xf numFmtId="0" fontId="6" fillId="0" borderId="18" xfId="0" applyFont="1" applyBorder="1"/>
    <xf numFmtId="43" fontId="6" fillId="0" borderId="18" xfId="1" applyFont="1" applyBorder="1"/>
    <xf numFmtId="43" fontId="6" fillId="0" borderId="0" xfId="1" applyFont="1" applyFill="1" applyBorder="1" applyAlignment="1">
      <alignment horizontal="left"/>
    </xf>
    <xf numFmtId="164" fontId="6" fillId="0" borderId="0" xfId="1" applyNumberFormat="1" applyFont="1" applyFill="1" applyBorder="1" applyAlignment="1">
      <alignment horizontal="left"/>
    </xf>
    <xf numFmtId="164" fontId="6" fillId="0" borderId="6" xfId="1" applyNumberFormat="1" applyFont="1" applyFill="1" applyBorder="1" applyAlignment="1"/>
    <xf numFmtId="164" fontId="6" fillId="0" borderId="0" xfId="1" applyNumberFormat="1" applyFont="1" applyFill="1" applyBorder="1" applyAlignment="1"/>
    <xf numFmtId="1" fontId="5" fillId="2" borderId="1" xfId="0" applyNumberFormat="1" applyFont="1" applyFill="1" applyBorder="1" applyAlignment="1">
      <alignment horizontal="center"/>
    </xf>
    <xf numFmtId="1" fontId="6" fillId="0" borderId="0" xfId="0" applyNumberFormat="1" applyFont="1"/>
    <xf numFmtId="0" fontId="6" fillId="0" borderId="1" xfId="0" quotePrefix="1" applyFont="1" applyBorder="1"/>
    <xf numFmtId="0" fontId="5" fillId="0" borderId="0" xfId="0" applyFont="1" applyAlignment="1">
      <alignment horizontal="center"/>
    </xf>
    <xf numFmtId="43" fontId="6" fillId="0" borderId="0" xfId="1" applyFont="1"/>
    <xf numFmtId="9" fontId="6" fillId="0" borderId="0" xfId="2" applyFont="1"/>
    <xf numFmtId="9" fontId="6" fillId="0" borderId="1" xfId="0" applyNumberFormat="1" applyFont="1" applyBorder="1"/>
    <xf numFmtId="164" fontId="6" fillId="0" borderId="0" xfId="1" applyNumberFormat="1" applyFont="1" applyBorder="1"/>
    <xf numFmtId="0" fontId="11" fillId="0" borderId="1" xfId="0" applyFont="1" applyBorder="1"/>
    <xf numFmtId="164" fontId="6" fillId="0" borderId="12" xfId="2" applyNumberFormat="1" applyFont="1" applyBorder="1"/>
    <xf numFmtId="2" fontId="6" fillId="0" borderId="1" xfId="2" applyNumberFormat="1" applyFont="1" applyBorder="1"/>
    <xf numFmtId="10" fontId="6" fillId="0" borderId="0" xfId="0" applyNumberFormat="1" applyFont="1" applyFill="1"/>
    <xf numFmtId="0" fontId="6" fillId="0" borderId="0" xfId="0" applyFont="1" applyFill="1" applyAlignment="1">
      <alignment horizontal="right"/>
    </xf>
    <xf numFmtId="164" fontId="6" fillId="0" borderId="0" xfId="1" applyNumberFormat="1" applyFont="1" applyFill="1"/>
    <xf numFmtId="0" fontId="5" fillId="0" borderId="0" xfId="0" applyFont="1" applyAlignment="1">
      <alignment horizontal="left"/>
    </xf>
    <xf numFmtId="0" fontId="5" fillId="2" borderId="1" xfId="0" applyFont="1" applyFill="1" applyBorder="1" applyAlignment="1">
      <alignment horizontal="center"/>
    </xf>
    <xf numFmtId="0" fontId="5"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xf>
    <xf numFmtId="0" fontId="6" fillId="2" borderId="1" xfId="0" applyFont="1" applyFill="1" applyBorder="1" applyAlignment="1">
      <alignment horizontal="center"/>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12" fillId="2" borderId="0" xfId="0" applyFont="1" applyFill="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5"/>
  <sheetViews>
    <sheetView tabSelected="1" workbookViewId="0">
      <selection activeCell="A8" sqref="A8"/>
    </sheetView>
  </sheetViews>
  <sheetFormatPr defaultRowHeight="17" x14ac:dyDescent="0.6"/>
  <cols>
    <col min="1" max="1" width="57.90625" style="8" bestFit="1" customWidth="1"/>
    <col min="2" max="2" width="14.453125" style="8" bestFit="1" customWidth="1"/>
    <col min="3" max="16384" width="8.7265625" style="8"/>
  </cols>
  <sheetData>
    <row r="1" spans="1:2" x14ac:dyDescent="0.6">
      <c r="A1" s="7" t="s">
        <v>174</v>
      </c>
    </row>
    <row r="3" spans="1:2" x14ac:dyDescent="0.6">
      <c r="A3" s="12" t="s">
        <v>175</v>
      </c>
      <c r="B3" s="12" t="s">
        <v>176</v>
      </c>
    </row>
    <row r="4" spans="1:2" x14ac:dyDescent="0.6">
      <c r="A4" s="9" t="str">
        <f>'[1]Ann 1'!A3</f>
        <v>Annexure 1 - Estimated cost of the project</v>
      </c>
      <c r="B4" s="10" t="s">
        <v>177</v>
      </c>
    </row>
    <row r="5" spans="1:2" x14ac:dyDescent="0.6">
      <c r="A5" s="9" t="str">
        <f>'[1]Ann 2'!A1</f>
        <v>Annexure 2 - Means of Finance</v>
      </c>
      <c r="B5" s="10" t="s">
        <v>178</v>
      </c>
    </row>
    <row r="6" spans="1:2" x14ac:dyDescent="0.6">
      <c r="A6" s="9" t="str">
        <f>'Ann 3'!A1</f>
        <v>Annexure 3 - Complete Estimate of Civil and Plant and Machinery</v>
      </c>
      <c r="B6" s="10" t="s">
        <v>190</v>
      </c>
    </row>
    <row r="7" spans="1:2" x14ac:dyDescent="0.6">
      <c r="A7" s="9" t="str">
        <f>'[1]Ann 4'!A1</f>
        <v>Annexure 4 - Estimated Cost of Production</v>
      </c>
      <c r="B7" s="10" t="s">
        <v>179</v>
      </c>
    </row>
    <row r="8" spans="1:2" x14ac:dyDescent="0.6">
      <c r="A8" s="9" t="str">
        <f>'[1]Ann 5'!A1</f>
        <v>Annexure 5- Projected balance sheet</v>
      </c>
      <c r="B8" s="10" t="s">
        <v>180</v>
      </c>
    </row>
    <row r="9" spans="1:2" x14ac:dyDescent="0.6">
      <c r="A9" s="9" t="str">
        <f>'Ann 9'!A1</f>
        <v>Annexure 9 - Computation of Depreciation</v>
      </c>
      <c r="B9" s="10" t="s">
        <v>181</v>
      </c>
    </row>
    <row r="10" spans="1:2" x14ac:dyDescent="0.6">
      <c r="A10" s="9" t="str">
        <f>'Ann 10'!A1</f>
        <v>Annexure 10 - Calculation of Income tax</v>
      </c>
      <c r="B10" s="10" t="s">
        <v>182</v>
      </c>
    </row>
    <row r="11" spans="1:2" x14ac:dyDescent="0.6">
      <c r="A11" s="9" t="str">
        <f>'[1]Ann 11'!A1</f>
        <v>Annexure 11- Break even analysis (At maximum capacity utilization)</v>
      </c>
      <c r="B11" s="10" t="s">
        <v>183</v>
      </c>
    </row>
    <row r="12" spans="1:2" x14ac:dyDescent="0.6">
      <c r="A12" s="9" t="str">
        <f>'Ann 13'!A1</f>
        <v>Annexure 13 - Repayment schedule</v>
      </c>
      <c r="B12" s="10" t="s">
        <v>184</v>
      </c>
    </row>
    <row r="13" spans="1:2" x14ac:dyDescent="0.6">
      <c r="A13" s="9" t="str">
        <f>'Ann 14'!A1</f>
        <v>Annexure 14 - Cash flow statement</v>
      </c>
      <c r="B13" s="10" t="s">
        <v>218</v>
      </c>
    </row>
    <row r="14" spans="1:2" x14ac:dyDescent="0.6">
      <c r="A14" s="9" t="str">
        <f>[1]Assumptions!B1</f>
        <v>Assumptions</v>
      </c>
      <c r="B14" s="11" t="s">
        <v>185</v>
      </c>
    </row>
    <row r="15" spans="1:2" x14ac:dyDescent="0.6">
      <c r="A15" s="9" t="str">
        <f>[1]Budgets!A1</f>
        <v>Sales Budget</v>
      </c>
      <c r="B15" s="11" t="s">
        <v>186</v>
      </c>
    </row>
  </sheetData>
  <hyperlinks>
    <hyperlink ref="B4" location="'Ann 1'!A1" display="Ann 1'!A1" xr:uid="{8392AB6D-212E-479A-A76E-720E2C0CDF1A}"/>
    <hyperlink ref="B5" location="'Ann 2'!A1" display="Ann 2'!A1" xr:uid="{B4E13D04-8C42-46A6-BAFD-20DB089CE0CE}"/>
    <hyperlink ref="B7" location="'Ann 4'!A1" display="Ann 4'!A1" xr:uid="{13CD8BC8-123F-4B27-B558-7700BF617505}"/>
    <hyperlink ref="B8" location="'Ann 5'!A1" display="Ann 5'!A1" xr:uid="{48243C34-7BE1-4B2C-9BAF-A4BEE1FA52A7}"/>
    <hyperlink ref="B9" location="'Ann 9'!A1" display="Ann 9'!A1" xr:uid="{E91052E2-C8F3-4E24-802C-38C31EA75505}"/>
    <hyperlink ref="B10" location="'Ann 10'!A1" display="Ann 10'!A1" xr:uid="{6A4B47E0-EA66-439F-8C5A-E0DF1C723C34}"/>
    <hyperlink ref="B11" location="'Ann 11'!A1" display="Ann 11'!A1" xr:uid="{91648EFB-F5F2-42E9-8853-705ACD4F62EF}"/>
    <hyperlink ref="B12" location="'Ann 13'!A1" display="Ann 13'!A1" xr:uid="{D748CAF8-9377-4D17-A5F2-F1A083E6D389}"/>
    <hyperlink ref="B14" location="Assumptions!A1" display="Assumptions!A1" xr:uid="{E978F649-0532-497D-92AA-EF316AAFA8E7}"/>
    <hyperlink ref="B15" location="Budgets!A1" display="Budgets!A1" xr:uid="{4CD23AF4-AE8A-40D8-A5ED-3F33524C9974}"/>
    <hyperlink ref="B6" location="'Ann 3'!A1" display="Ann 3'!A1" xr:uid="{103D0423-931A-4127-89EA-F0D3EE7C4F91}"/>
    <hyperlink ref="B13" location="'Ann 14'!A1" display="Ann 14'!A1" xr:uid="{C838FF0E-FB21-4681-BB24-3699D664F32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heetViews>
  <sheetFormatPr defaultRowHeight="17" x14ac:dyDescent="0.6"/>
  <cols>
    <col min="1" max="1" width="20.90625" style="8" customWidth="1"/>
    <col min="2" max="10" width="13.6328125" style="8" bestFit="1" customWidth="1"/>
    <col min="11" max="16384" width="8.7265625" style="8"/>
  </cols>
  <sheetData>
    <row r="1" spans="1:10" x14ac:dyDescent="0.6">
      <c r="A1" s="7" t="s">
        <v>92</v>
      </c>
    </row>
    <row r="3" spans="1:10" x14ac:dyDescent="0.6">
      <c r="A3" s="63" t="s">
        <v>93</v>
      </c>
    </row>
    <row r="5" spans="1:10" x14ac:dyDescent="0.6">
      <c r="A5" s="119" t="s">
        <v>3</v>
      </c>
      <c r="B5" s="119" t="s">
        <v>46</v>
      </c>
      <c r="C5" s="119"/>
      <c r="D5" s="119"/>
      <c r="E5" s="119"/>
      <c r="F5" s="119"/>
      <c r="G5" s="119"/>
      <c r="H5" s="119"/>
      <c r="I5" s="119"/>
      <c r="J5" s="119"/>
    </row>
    <row r="6" spans="1:10" x14ac:dyDescent="0.6">
      <c r="A6" s="119"/>
      <c r="B6" s="74" t="s">
        <v>37</v>
      </c>
      <c r="C6" s="74" t="s">
        <v>38</v>
      </c>
      <c r="D6" s="74" t="s">
        <v>39</v>
      </c>
      <c r="E6" s="74" t="s">
        <v>40</v>
      </c>
      <c r="F6" s="74" t="s">
        <v>41</v>
      </c>
      <c r="G6" s="74" t="s">
        <v>42</v>
      </c>
      <c r="H6" s="74" t="s">
        <v>43</v>
      </c>
      <c r="I6" s="74" t="s">
        <v>44</v>
      </c>
      <c r="J6" s="74" t="s">
        <v>45</v>
      </c>
    </row>
    <row r="7" spans="1:10" x14ac:dyDescent="0.6">
      <c r="A7" s="9" t="s">
        <v>94</v>
      </c>
      <c r="B7" s="43">
        <f>'Ann 4'!C33</f>
        <v>966097.95238095254</v>
      </c>
      <c r="C7" s="43">
        <f>'Ann 4'!D33</f>
        <v>1377528.8571428577</v>
      </c>
      <c r="D7" s="43">
        <f>'Ann 4'!E33</f>
        <v>1564974.3222222233</v>
      </c>
      <c r="E7" s="43">
        <f>'Ann 4'!F33</f>
        <v>1749380.6623015881</v>
      </c>
      <c r="F7" s="43">
        <f>'Ann 4'!G33</f>
        <v>1930449.3461309536</v>
      </c>
      <c r="G7" s="43">
        <f>'Ann 4'!H33</f>
        <v>2107852.258397819</v>
      </c>
      <c r="H7" s="43">
        <f>'Ann 4'!I33</f>
        <v>2281228.7547740587</v>
      </c>
      <c r="I7" s="43">
        <f>'Ann 4'!J33</f>
        <v>2444461.4898068099</v>
      </c>
      <c r="J7" s="43">
        <f>'Ann 4'!K33</f>
        <v>2593300.7660825066</v>
      </c>
    </row>
    <row r="8" spans="1:10" x14ac:dyDescent="0.6">
      <c r="A8" s="9" t="s">
        <v>95</v>
      </c>
      <c r="B8" s="43">
        <v>0</v>
      </c>
      <c r="C8" s="43">
        <v>0</v>
      </c>
      <c r="D8" s="43">
        <v>0</v>
      </c>
      <c r="E8" s="43">
        <v>0</v>
      </c>
      <c r="F8" s="43">
        <v>0</v>
      </c>
      <c r="G8" s="43">
        <v>0</v>
      </c>
      <c r="H8" s="43">
        <v>0</v>
      </c>
      <c r="I8" s="43">
        <v>0</v>
      </c>
      <c r="J8" s="43">
        <v>0</v>
      </c>
    </row>
    <row r="9" spans="1:10" x14ac:dyDescent="0.6">
      <c r="A9" s="9" t="s">
        <v>96</v>
      </c>
      <c r="B9" s="43">
        <f>B7+B8</f>
        <v>966097.95238095254</v>
      </c>
      <c r="C9" s="43">
        <f t="shared" ref="C9:J9" si="0">C7+C8</f>
        <v>1377528.8571428577</v>
      </c>
      <c r="D9" s="43">
        <f t="shared" si="0"/>
        <v>1564974.3222222233</v>
      </c>
      <c r="E9" s="43">
        <f t="shared" si="0"/>
        <v>1749380.6623015881</v>
      </c>
      <c r="F9" s="43">
        <f t="shared" si="0"/>
        <v>1930449.3461309536</v>
      </c>
      <c r="G9" s="43">
        <f t="shared" si="0"/>
        <v>2107852.258397819</v>
      </c>
      <c r="H9" s="43">
        <f t="shared" si="0"/>
        <v>2281228.7547740587</v>
      </c>
      <c r="I9" s="43">
        <f t="shared" si="0"/>
        <v>2444461.4898068099</v>
      </c>
      <c r="J9" s="43">
        <f t="shared" si="0"/>
        <v>2593300.7660825066</v>
      </c>
    </row>
    <row r="10" spans="1:10" x14ac:dyDescent="0.6">
      <c r="A10" s="9" t="s">
        <v>97</v>
      </c>
      <c r="B10" s="43">
        <f>SUM('Ann 9'!C12:E12)</f>
        <v>281880</v>
      </c>
      <c r="C10" s="43">
        <f>SUM('Ann 9'!C13:E13)</f>
        <v>239598</v>
      </c>
      <c r="D10" s="43">
        <f>SUM('Ann 9'!C14:E14)</f>
        <v>203658.3</v>
      </c>
      <c r="E10" s="43">
        <f>SUM('Ann 9'!C15:E15)</f>
        <v>173109.55499999999</v>
      </c>
      <c r="F10" s="43">
        <f>SUM('Ann 9'!C16:E16)</f>
        <v>147143.12174999999</v>
      </c>
      <c r="G10" s="43">
        <f>SUM('Ann 9'!C17:E17)</f>
        <v>125071.65348750001</v>
      </c>
      <c r="H10" s="43">
        <f>SUM('Ann 9'!C18:E18)</f>
        <v>106310.905464375</v>
      </c>
      <c r="I10" s="43">
        <f>SUM('Ann 9'!C19:E19)</f>
        <v>90364.269644718748</v>
      </c>
      <c r="J10" s="43">
        <f>SUM('Ann 9'!C20:E20)</f>
        <v>76809.629198010938</v>
      </c>
    </row>
    <row r="11" spans="1:10" x14ac:dyDescent="0.6">
      <c r="A11" s="9" t="s">
        <v>96</v>
      </c>
      <c r="B11" s="43">
        <f>B9-B10</f>
        <v>684217.95238095254</v>
      </c>
      <c r="C11" s="43">
        <f t="shared" ref="C11:J11" si="1">C9-C10</f>
        <v>1137930.8571428577</v>
      </c>
      <c r="D11" s="43">
        <f t="shared" si="1"/>
        <v>1361316.0222222232</v>
      </c>
      <c r="E11" s="43">
        <f t="shared" si="1"/>
        <v>1576271.1073015882</v>
      </c>
      <c r="F11" s="43">
        <f t="shared" si="1"/>
        <v>1783306.2243809537</v>
      </c>
      <c r="G11" s="43">
        <f t="shared" si="1"/>
        <v>1982780.604910319</v>
      </c>
      <c r="H11" s="43">
        <f t="shared" si="1"/>
        <v>2174917.8493096838</v>
      </c>
      <c r="I11" s="43">
        <f t="shared" si="1"/>
        <v>2354097.2201620913</v>
      </c>
      <c r="J11" s="43">
        <f t="shared" si="1"/>
        <v>2516491.1368844956</v>
      </c>
    </row>
    <row r="12" spans="1:10" x14ac:dyDescent="0.6">
      <c r="A12" s="9" t="s">
        <v>98</v>
      </c>
      <c r="B12" s="73">
        <v>0</v>
      </c>
      <c r="C12" s="73">
        <v>0</v>
      </c>
      <c r="D12" s="73">
        <v>0</v>
      </c>
      <c r="E12" s="73">
        <v>0</v>
      </c>
      <c r="F12" s="73">
        <v>0</v>
      </c>
      <c r="G12" s="73">
        <v>0</v>
      </c>
      <c r="H12" s="73">
        <v>0</v>
      </c>
      <c r="I12" s="73">
        <v>0</v>
      </c>
      <c r="J12" s="73">
        <v>0</v>
      </c>
    </row>
    <row r="13" spans="1:10" x14ac:dyDescent="0.6">
      <c r="A13" s="9" t="s">
        <v>99</v>
      </c>
      <c r="B13" s="64">
        <f>B11</f>
        <v>684217.95238095254</v>
      </c>
      <c r="C13" s="64">
        <f t="shared" ref="C13:J13" si="2">C11</f>
        <v>1137930.8571428577</v>
      </c>
      <c r="D13" s="64">
        <f t="shared" si="2"/>
        <v>1361316.0222222232</v>
      </c>
      <c r="E13" s="64">
        <f t="shared" si="2"/>
        <v>1576271.1073015882</v>
      </c>
      <c r="F13" s="64">
        <f t="shared" si="2"/>
        <v>1783306.2243809537</v>
      </c>
      <c r="G13" s="64">
        <f t="shared" si="2"/>
        <v>1982780.604910319</v>
      </c>
      <c r="H13" s="64">
        <f t="shared" si="2"/>
        <v>2174917.8493096838</v>
      </c>
      <c r="I13" s="64">
        <f t="shared" si="2"/>
        <v>2354097.2201620913</v>
      </c>
      <c r="J13" s="64">
        <f t="shared" si="2"/>
        <v>2516491.1368844956</v>
      </c>
    </row>
    <row r="14" spans="1:10" x14ac:dyDescent="0.6">
      <c r="A14" s="9" t="s">
        <v>100</v>
      </c>
      <c r="B14" s="64">
        <f>B13*30%</f>
        <v>205265.38571428575</v>
      </c>
      <c r="C14" s="64">
        <f t="shared" ref="C14:J14" si="3">C13*30%</f>
        <v>341379.2571428573</v>
      </c>
      <c r="D14" s="64">
        <f t="shared" si="3"/>
        <v>408394.80666666693</v>
      </c>
      <c r="E14" s="64">
        <f t="shared" si="3"/>
        <v>472881.33219047642</v>
      </c>
      <c r="F14" s="64">
        <f t="shared" si="3"/>
        <v>534991.86731428606</v>
      </c>
      <c r="G14" s="64">
        <f t="shared" si="3"/>
        <v>594834.18147309567</v>
      </c>
      <c r="H14" s="64">
        <f t="shared" si="3"/>
        <v>652475.35479290516</v>
      </c>
      <c r="I14" s="64">
        <f t="shared" si="3"/>
        <v>706229.16604862735</v>
      </c>
      <c r="J14" s="64">
        <f t="shared" si="3"/>
        <v>754947.34106534871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E33"/>
  <sheetViews>
    <sheetView workbookViewId="0"/>
  </sheetViews>
  <sheetFormatPr defaultRowHeight="17" x14ac:dyDescent="0.6"/>
  <cols>
    <col min="1" max="1" width="8.7265625" style="8"/>
    <col min="2" max="2" width="26.7265625" style="8" bestFit="1" customWidth="1"/>
    <col min="3" max="3" width="14.6328125" style="8" bestFit="1" customWidth="1"/>
    <col min="4" max="4" width="13.54296875" style="8" bestFit="1" customWidth="1"/>
    <col min="5" max="5" width="15.90625" style="8" bestFit="1" customWidth="1"/>
    <col min="6" max="14" width="8.7265625" style="8"/>
    <col min="15" max="15" width="13.6328125" style="8" bestFit="1" customWidth="1"/>
    <col min="16" max="16" width="12.54296875" style="8" bestFit="1" customWidth="1"/>
    <col min="17" max="16384" width="8.7265625" style="8"/>
  </cols>
  <sheetData>
    <row r="1" spans="1:5" x14ac:dyDescent="0.6">
      <c r="A1" s="7" t="s">
        <v>61</v>
      </c>
    </row>
    <row r="3" spans="1:5" x14ac:dyDescent="0.6">
      <c r="A3" s="77" t="s">
        <v>62</v>
      </c>
      <c r="B3" s="78"/>
      <c r="C3" s="78"/>
      <c r="D3" s="78"/>
      <c r="E3" s="78"/>
    </row>
    <row r="5" spans="1:5" x14ac:dyDescent="0.6">
      <c r="B5" s="8" t="s">
        <v>48</v>
      </c>
      <c r="E5" s="75">
        <f>'Ann 4'!C25/70%</f>
        <v>3173877.5510204085</v>
      </c>
    </row>
    <row r="6" spans="1:5" x14ac:dyDescent="0.6">
      <c r="B6" s="8" t="s">
        <v>63</v>
      </c>
    </row>
    <row r="7" spans="1:5" x14ac:dyDescent="0.6">
      <c r="B7" s="76" t="s">
        <v>64</v>
      </c>
      <c r="D7" s="39">
        <f>'Ann 4'!C11</f>
        <v>320000</v>
      </c>
    </row>
    <row r="8" spans="1:5" x14ac:dyDescent="0.6">
      <c r="B8" s="76" t="s">
        <v>65</v>
      </c>
      <c r="D8" s="39">
        <f>'Ann 2'!C7*100000*10%</f>
        <v>20000</v>
      </c>
      <c r="E8" s="39"/>
    </row>
    <row r="9" spans="1:5" x14ac:dyDescent="0.6">
      <c r="B9" s="76" t="s">
        <v>296</v>
      </c>
      <c r="D9" s="39">
        <f>'Ann 4'!C19</f>
        <v>62500</v>
      </c>
      <c r="E9" s="39"/>
    </row>
    <row r="10" spans="1:5" x14ac:dyDescent="0.6">
      <c r="B10" s="76" t="s">
        <v>299</v>
      </c>
      <c r="D10" s="39">
        <f>'Ann 4'!C12</f>
        <v>204000</v>
      </c>
      <c r="E10" s="39"/>
    </row>
    <row r="11" spans="1:5" x14ac:dyDescent="0.6">
      <c r="B11" s="76" t="s">
        <v>312</v>
      </c>
      <c r="D11" s="39">
        <f>Input!B47</f>
        <v>100000</v>
      </c>
      <c r="E11" s="39"/>
    </row>
    <row r="12" spans="1:5" x14ac:dyDescent="0.6">
      <c r="B12" s="8" t="s">
        <v>66</v>
      </c>
      <c r="E12" s="39">
        <f>E5-D7-D8-D9-D10-D11</f>
        <v>2467377.5510204085</v>
      </c>
    </row>
    <row r="13" spans="1:5" x14ac:dyDescent="0.6">
      <c r="B13" s="8" t="s">
        <v>210</v>
      </c>
    </row>
    <row r="14" spans="1:5" x14ac:dyDescent="0.6">
      <c r="B14" s="8" t="s">
        <v>67</v>
      </c>
      <c r="E14" s="39">
        <f>'Ann 4'!C16+'Ann 4'!C17+'Ann 4'!C18</f>
        <v>288000</v>
      </c>
    </row>
    <row r="15" spans="1:5" x14ac:dyDescent="0.6">
      <c r="B15" s="8" t="s">
        <v>220</v>
      </c>
      <c r="E15" s="39">
        <f>'Ann 4'!C10</f>
        <v>41000</v>
      </c>
    </row>
    <row r="16" spans="1:5" x14ac:dyDescent="0.6">
      <c r="B16" s="8" t="s">
        <v>68</v>
      </c>
      <c r="E16" s="39">
        <f>'Ann 9'!F12</f>
        <v>281880</v>
      </c>
    </row>
    <row r="17" spans="1:5" x14ac:dyDescent="0.6">
      <c r="B17" s="8" t="s">
        <v>214</v>
      </c>
      <c r="E17" s="39">
        <v>240000</v>
      </c>
    </row>
    <row r="18" spans="1:5" x14ac:dyDescent="0.6">
      <c r="B18" s="8" t="s">
        <v>170</v>
      </c>
      <c r="E18" s="39">
        <f>SUM('Ann 13'!E9:E12)*100000</f>
        <v>100116.33333333334</v>
      </c>
    </row>
    <row r="19" spans="1:5" x14ac:dyDescent="0.6">
      <c r="B19" s="8" t="s">
        <v>69</v>
      </c>
      <c r="E19" s="39">
        <f>SUM(E14:E18)</f>
        <v>950996.33333333337</v>
      </c>
    </row>
    <row r="21" spans="1:5" x14ac:dyDescent="0.6">
      <c r="B21" s="45" t="s">
        <v>3</v>
      </c>
      <c r="C21" s="45" t="s">
        <v>297</v>
      </c>
    </row>
    <row r="22" spans="1:5" x14ac:dyDescent="0.6">
      <c r="B22" s="9" t="s">
        <v>298</v>
      </c>
      <c r="C22" s="9">
        <f>Input!B40</f>
        <v>450</v>
      </c>
    </row>
    <row r="23" spans="1:5" x14ac:dyDescent="0.6">
      <c r="B23" s="9" t="s">
        <v>300</v>
      </c>
      <c r="C23" s="71">
        <f>D7/('Ann 4'!C42/'Ann 4'!C5)</f>
        <v>23.333333333333332</v>
      </c>
    </row>
    <row r="24" spans="1:5" x14ac:dyDescent="0.6">
      <c r="B24" s="9" t="s">
        <v>212</v>
      </c>
      <c r="C24" s="71">
        <f>D8/('Ann 4'!C42/'Ann 4'!C5)</f>
        <v>1.4583333333333333</v>
      </c>
    </row>
    <row r="25" spans="1:5" x14ac:dyDescent="0.6">
      <c r="B25" s="9" t="s">
        <v>311</v>
      </c>
      <c r="C25" s="71">
        <f>D11/'Ann 4'!C42</f>
        <v>12.152777777777777</v>
      </c>
    </row>
    <row r="26" spans="1:5" x14ac:dyDescent="0.6">
      <c r="B26" s="9" t="s">
        <v>242</v>
      </c>
      <c r="C26" s="71">
        <f>'Ann 4'!C12/('Ann 4'!C42/'Ann 4'!C5)</f>
        <v>14.874999999999998</v>
      </c>
    </row>
    <row r="27" spans="1:5" x14ac:dyDescent="0.6">
      <c r="B27" s="9" t="s">
        <v>213</v>
      </c>
      <c r="C27" s="71">
        <f>C22-SUM(C23:C26)</f>
        <v>398.18055555555554</v>
      </c>
    </row>
    <row r="28" spans="1:5" x14ac:dyDescent="0.6">
      <c r="B28" s="22" t="s">
        <v>301</v>
      </c>
      <c r="C28" s="108">
        <f>E19</f>
        <v>950996.33333333337</v>
      </c>
    </row>
    <row r="29" spans="1:5" x14ac:dyDescent="0.6">
      <c r="B29" s="22" t="s">
        <v>302</v>
      </c>
      <c r="C29" s="109">
        <f>C28/C27</f>
        <v>2388.3545292825006</v>
      </c>
    </row>
    <row r="30" spans="1:5" x14ac:dyDescent="0.6">
      <c r="B30" s="22" t="s">
        <v>303</v>
      </c>
      <c r="C30" s="79">
        <f>C29/'Ann 4'!C42</f>
        <v>0.29025141848919278</v>
      </c>
    </row>
    <row r="31" spans="1:5" x14ac:dyDescent="0.6">
      <c r="C31" s="32"/>
    </row>
    <row r="32" spans="1:5" ht="49" customHeight="1" x14ac:dyDescent="0.6">
      <c r="A32" s="120" t="s">
        <v>191</v>
      </c>
      <c r="B32" s="120"/>
      <c r="C32" s="120"/>
      <c r="D32" s="120"/>
      <c r="E32" s="120"/>
    </row>
    <row r="33" spans="1:5" ht="66.5" customHeight="1" x14ac:dyDescent="0.6">
      <c r="A33" s="120" t="s">
        <v>314</v>
      </c>
      <c r="B33" s="120"/>
      <c r="C33" s="120"/>
      <c r="D33" s="120"/>
      <c r="E33" s="120"/>
    </row>
  </sheetData>
  <mergeCells count="2">
    <mergeCell ref="A32:E32"/>
    <mergeCell ref="A33:E3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70</v>
      </c>
    </row>
    <row r="3" spans="1:11" x14ac:dyDescent="0.35">
      <c r="C3" s="121" t="s">
        <v>71</v>
      </c>
      <c r="D3" s="121"/>
      <c r="E3" s="121"/>
      <c r="F3" s="121"/>
      <c r="G3" s="121"/>
      <c r="H3" s="121"/>
      <c r="I3" s="121"/>
      <c r="J3" s="121"/>
      <c r="K3" s="121"/>
    </row>
    <row r="4" spans="1:11" x14ac:dyDescent="0.35">
      <c r="C4">
        <v>1</v>
      </c>
      <c r="D4">
        <v>2</v>
      </c>
      <c r="E4">
        <v>3</v>
      </c>
      <c r="F4">
        <v>4</v>
      </c>
      <c r="G4">
        <v>5</v>
      </c>
      <c r="H4">
        <v>6</v>
      </c>
      <c r="I4">
        <v>7</v>
      </c>
      <c r="J4">
        <v>8</v>
      </c>
      <c r="K4">
        <v>9</v>
      </c>
    </row>
    <row r="5" spans="1:11" x14ac:dyDescent="0.35">
      <c r="A5" t="s">
        <v>72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73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74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heetViews>
  <sheetFormatPr defaultRowHeight="17" x14ac:dyDescent="0.6"/>
  <cols>
    <col min="1" max="1" width="4.54296875" style="8" bestFit="1" customWidth="1"/>
    <col min="2" max="2" width="7.36328125" style="8" bestFit="1" customWidth="1"/>
    <col min="3" max="3" width="17.81640625" style="8" bestFit="1" customWidth="1"/>
    <col min="4" max="4" width="17.36328125" style="8" bestFit="1" customWidth="1"/>
    <col min="5" max="5" width="7.26953125" style="8" bestFit="1" customWidth="1"/>
    <col min="6" max="16384" width="8.7265625" style="8"/>
  </cols>
  <sheetData>
    <row r="1" spans="1:7" x14ac:dyDescent="0.6">
      <c r="A1" s="7" t="s">
        <v>80</v>
      </c>
    </row>
    <row r="3" spans="1:7" x14ac:dyDescent="0.6">
      <c r="A3" s="63" t="s">
        <v>81</v>
      </c>
    </row>
    <row r="4" spans="1:7" x14ac:dyDescent="0.6">
      <c r="A4" s="8" t="s">
        <v>82</v>
      </c>
      <c r="D4" s="80">
        <f>'Ann 2'!C6</f>
        <v>17.162800000000001</v>
      </c>
    </row>
    <row r="5" spans="1:7" x14ac:dyDescent="0.6">
      <c r="A5" s="8" t="s">
        <v>83</v>
      </c>
      <c r="D5" s="110">
        <v>0.06</v>
      </c>
    </row>
    <row r="6" spans="1:7" x14ac:dyDescent="0.6">
      <c r="A6" s="8" t="s">
        <v>84</v>
      </c>
      <c r="D6" s="111" t="s">
        <v>313</v>
      </c>
    </row>
    <row r="8" spans="1:7" x14ac:dyDescent="0.6">
      <c r="A8" s="28" t="s">
        <v>60</v>
      </c>
      <c r="B8" s="28" t="s">
        <v>85</v>
      </c>
      <c r="C8" s="28" t="s">
        <v>86</v>
      </c>
      <c r="D8" s="28" t="s">
        <v>88</v>
      </c>
      <c r="E8" s="28" t="s">
        <v>87</v>
      </c>
    </row>
    <row r="9" spans="1:7" x14ac:dyDescent="0.6">
      <c r="A9" s="122">
        <v>1</v>
      </c>
      <c r="B9" s="9">
        <v>1</v>
      </c>
      <c r="C9" s="65">
        <f>$D$4</f>
        <v>17.162800000000001</v>
      </c>
      <c r="D9" s="9">
        <v>0</v>
      </c>
      <c r="E9" s="9">
        <f>C9*$D$5/4</f>
        <v>0.257442</v>
      </c>
    </row>
    <row r="10" spans="1:7" x14ac:dyDescent="0.6">
      <c r="A10" s="122"/>
      <c r="B10" s="9">
        <v>2</v>
      </c>
      <c r="C10" s="65">
        <f>$D$4</f>
        <v>17.162800000000001</v>
      </c>
      <c r="D10" s="9">
        <f>D4/27</f>
        <v>0.63565925925925926</v>
      </c>
      <c r="E10" s="9">
        <f t="shared" ref="E10:E36" si="0">C10*$D$5/4</f>
        <v>0.257442</v>
      </c>
      <c r="G10" s="81"/>
    </row>
    <row r="11" spans="1:7" x14ac:dyDescent="0.6">
      <c r="A11" s="122"/>
      <c r="B11" s="9">
        <v>3</v>
      </c>
      <c r="C11" s="9">
        <f t="shared" ref="C11:C17" si="1">C10-D10</f>
        <v>16.527140740740741</v>
      </c>
      <c r="D11" s="9">
        <f>D4/27</f>
        <v>0.63565925925925926</v>
      </c>
      <c r="E11" s="9">
        <f t="shared" si="0"/>
        <v>0.24790711111111111</v>
      </c>
    </row>
    <row r="12" spans="1:7" x14ac:dyDescent="0.6">
      <c r="A12" s="122"/>
      <c r="B12" s="9">
        <v>4</v>
      </c>
      <c r="C12" s="9">
        <f t="shared" si="1"/>
        <v>15.891481481481481</v>
      </c>
      <c r="D12" s="9">
        <f>D11</f>
        <v>0.63565925925925926</v>
      </c>
      <c r="E12" s="9">
        <f t="shared" si="0"/>
        <v>0.23837222222222221</v>
      </c>
    </row>
    <row r="13" spans="1:7" x14ac:dyDescent="0.6">
      <c r="A13" s="122">
        <v>2</v>
      </c>
      <c r="B13" s="9">
        <v>1</v>
      </c>
      <c r="C13" s="9">
        <f t="shared" si="1"/>
        <v>15.255822222222221</v>
      </c>
      <c r="D13" s="9">
        <f t="shared" ref="D13:D35" si="2">D12</f>
        <v>0.63565925925925926</v>
      </c>
      <c r="E13" s="9">
        <f t="shared" si="0"/>
        <v>0.22883733333333331</v>
      </c>
    </row>
    <row r="14" spans="1:7" x14ac:dyDescent="0.6">
      <c r="A14" s="122"/>
      <c r="B14" s="9">
        <v>2</v>
      </c>
      <c r="C14" s="9">
        <f t="shared" si="1"/>
        <v>14.620162962962961</v>
      </c>
      <c r="D14" s="9">
        <f t="shared" si="2"/>
        <v>0.63565925925925926</v>
      </c>
      <c r="E14" s="9">
        <f t="shared" si="0"/>
        <v>0.21930244444444441</v>
      </c>
    </row>
    <row r="15" spans="1:7" x14ac:dyDescent="0.6">
      <c r="A15" s="122"/>
      <c r="B15" s="9">
        <v>3</v>
      </c>
      <c r="C15" s="9">
        <f t="shared" si="1"/>
        <v>13.984503703703702</v>
      </c>
      <c r="D15" s="9">
        <f t="shared" si="2"/>
        <v>0.63565925925925926</v>
      </c>
      <c r="E15" s="9">
        <f t="shared" si="0"/>
        <v>0.20976755555555551</v>
      </c>
    </row>
    <row r="16" spans="1:7" x14ac:dyDescent="0.6">
      <c r="A16" s="122"/>
      <c r="B16" s="9">
        <v>4</v>
      </c>
      <c r="C16" s="9">
        <f t="shared" si="1"/>
        <v>13.348844444444442</v>
      </c>
      <c r="D16" s="9">
        <f t="shared" si="2"/>
        <v>0.63565925925925926</v>
      </c>
      <c r="E16" s="9">
        <f t="shared" si="0"/>
        <v>0.20023266666666661</v>
      </c>
    </row>
    <row r="17" spans="1:5" x14ac:dyDescent="0.6">
      <c r="A17" s="122">
        <v>3</v>
      </c>
      <c r="B17" s="9">
        <v>1</v>
      </c>
      <c r="C17" s="9">
        <f t="shared" si="1"/>
        <v>12.713185185185182</v>
      </c>
      <c r="D17" s="9">
        <f t="shared" si="2"/>
        <v>0.63565925925925926</v>
      </c>
      <c r="E17" s="9">
        <f t="shared" si="0"/>
        <v>0.19069777777777772</v>
      </c>
    </row>
    <row r="18" spans="1:5" x14ac:dyDescent="0.6">
      <c r="A18" s="122"/>
      <c r="B18" s="9">
        <v>2</v>
      </c>
      <c r="C18" s="9">
        <f t="shared" ref="C18:C36" si="3">C17-D17</f>
        <v>12.077525925925922</v>
      </c>
      <c r="D18" s="9">
        <f t="shared" si="2"/>
        <v>0.63565925925925926</v>
      </c>
      <c r="E18" s="9">
        <f t="shared" si="0"/>
        <v>0.18116288888888882</v>
      </c>
    </row>
    <row r="19" spans="1:5" x14ac:dyDescent="0.6">
      <c r="A19" s="122"/>
      <c r="B19" s="9">
        <v>3</v>
      </c>
      <c r="C19" s="9">
        <f t="shared" si="3"/>
        <v>11.441866666666662</v>
      </c>
      <c r="D19" s="9">
        <f t="shared" si="2"/>
        <v>0.63565925925925926</v>
      </c>
      <c r="E19" s="9">
        <f t="shared" si="0"/>
        <v>0.17162799999999992</v>
      </c>
    </row>
    <row r="20" spans="1:5" x14ac:dyDescent="0.6">
      <c r="A20" s="122"/>
      <c r="B20" s="9">
        <v>4</v>
      </c>
      <c r="C20" s="9">
        <f t="shared" si="3"/>
        <v>10.806207407407403</v>
      </c>
      <c r="D20" s="9">
        <f t="shared" si="2"/>
        <v>0.63565925925925926</v>
      </c>
      <c r="E20" s="9">
        <f t="shared" si="0"/>
        <v>0.16209311111111102</v>
      </c>
    </row>
    <row r="21" spans="1:5" x14ac:dyDescent="0.6">
      <c r="A21" s="122">
        <v>4</v>
      </c>
      <c r="B21" s="9">
        <v>1</v>
      </c>
      <c r="C21" s="9">
        <f t="shared" si="3"/>
        <v>10.170548148148143</v>
      </c>
      <c r="D21" s="9">
        <f t="shared" si="2"/>
        <v>0.63565925925925926</v>
      </c>
      <c r="E21" s="9">
        <f t="shared" si="0"/>
        <v>0.15255822222222212</v>
      </c>
    </row>
    <row r="22" spans="1:5" x14ac:dyDescent="0.6">
      <c r="A22" s="122"/>
      <c r="B22" s="9">
        <v>2</v>
      </c>
      <c r="C22" s="9">
        <f t="shared" si="3"/>
        <v>9.534888888888883</v>
      </c>
      <c r="D22" s="9">
        <f t="shared" si="2"/>
        <v>0.63565925925925926</v>
      </c>
      <c r="E22" s="9">
        <f t="shared" si="0"/>
        <v>0.14302333333333325</v>
      </c>
    </row>
    <row r="23" spans="1:5" x14ac:dyDescent="0.6">
      <c r="A23" s="122"/>
      <c r="B23" s="9">
        <v>3</v>
      </c>
      <c r="C23" s="9">
        <f t="shared" si="3"/>
        <v>8.8992296296296232</v>
      </c>
      <c r="D23" s="9">
        <f t="shared" si="2"/>
        <v>0.63565925925925926</v>
      </c>
      <c r="E23" s="9">
        <f t="shared" si="0"/>
        <v>0.13348844444444435</v>
      </c>
    </row>
    <row r="24" spans="1:5" x14ac:dyDescent="0.6">
      <c r="A24" s="122"/>
      <c r="B24" s="9">
        <v>4</v>
      </c>
      <c r="C24" s="9">
        <f t="shared" si="3"/>
        <v>8.2635703703703633</v>
      </c>
      <c r="D24" s="9">
        <f t="shared" si="2"/>
        <v>0.63565925925925926</v>
      </c>
      <c r="E24" s="9">
        <f t="shared" si="0"/>
        <v>0.12395355555555544</v>
      </c>
    </row>
    <row r="25" spans="1:5" x14ac:dyDescent="0.6">
      <c r="A25" s="122">
        <v>5</v>
      </c>
      <c r="B25" s="9">
        <v>1</v>
      </c>
      <c r="C25" s="9">
        <f t="shared" si="3"/>
        <v>7.6279111111111044</v>
      </c>
      <c r="D25" s="9">
        <f t="shared" si="2"/>
        <v>0.63565925925925926</v>
      </c>
      <c r="E25" s="9">
        <f t="shared" si="0"/>
        <v>0.11441866666666656</v>
      </c>
    </row>
    <row r="26" spans="1:5" x14ac:dyDescent="0.6">
      <c r="A26" s="122"/>
      <c r="B26" s="9">
        <v>2</v>
      </c>
      <c r="C26" s="9">
        <f t="shared" si="3"/>
        <v>6.9922518518518455</v>
      </c>
      <c r="D26" s="9">
        <f t="shared" si="2"/>
        <v>0.63565925925925926</v>
      </c>
      <c r="E26" s="9">
        <f t="shared" si="0"/>
        <v>0.10488377777777767</v>
      </c>
    </row>
    <row r="27" spans="1:5" x14ac:dyDescent="0.6">
      <c r="A27" s="122"/>
      <c r="B27" s="9">
        <v>3</v>
      </c>
      <c r="C27" s="9">
        <f t="shared" si="3"/>
        <v>6.3565925925925866</v>
      </c>
      <c r="D27" s="9">
        <f t="shared" si="2"/>
        <v>0.63565925925925926</v>
      </c>
      <c r="E27" s="9">
        <f t="shared" si="0"/>
        <v>9.5348888888888789E-2</v>
      </c>
    </row>
    <row r="28" spans="1:5" x14ac:dyDescent="0.6">
      <c r="A28" s="122"/>
      <c r="B28" s="9">
        <v>4</v>
      </c>
      <c r="C28" s="9">
        <f t="shared" si="3"/>
        <v>5.7209333333333277</v>
      </c>
      <c r="D28" s="9">
        <f t="shared" si="2"/>
        <v>0.63565925925925926</v>
      </c>
      <c r="E28" s="9">
        <f t="shared" si="0"/>
        <v>8.5813999999999918E-2</v>
      </c>
    </row>
    <row r="29" spans="1:5" x14ac:dyDescent="0.6">
      <c r="A29" s="122">
        <v>6</v>
      </c>
      <c r="B29" s="9">
        <v>1</v>
      </c>
      <c r="C29" s="9">
        <f t="shared" si="3"/>
        <v>5.0852740740740687</v>
      </c>
      <c r="D29" s="9">
        <f t="shared" si="2"/>
        <v>0.63565925925925926</v>
      </c>
      <c r="E29" s="9">
        <f t="shared" si="0"/>
        <v>7.6279111111111034E-2</v>
      </c>
    </row>
    <row r="30" spans="1:5" x14ac:dyDescent="0.6">
      <c r="A30" s="122"/>
      <c r="B30" s="9">
        <v>2</v>
      </c>
      <c r="C30" s="9">
        <f t="shared" si="3"/>
        <v>4.4496148148148098</v>
      </c>
      <c r="D30" s="9">
        <f t="shared" si="2"/>
        <v>0.63565925925925926</v>
      </c>
      <c r="E30" s="9">
        <f t="shared" si="0"/>
        <v>6.6744222222222149E-2</v>
      </c>
    </row>
    <row r="31" spans="1:5" x14ac:dyDescent="0.6">
      <c r="A31" s="122"/>
      <c r="B31" s="9">
        <v>3</v>
      </c>
      <c r="C31" s="9">
        <f t="shared" si="3"/>
        <v>3.8139555555555504</v>
      </c>
      <c r="D31" s="9">
        <f t="shared" si="2"/>
        <v>0.63565925925925926</v>
      </c>
      <c r="E31" s="9">
        <f t="shared" si="0"/>
        <v>5.7209333333333251E-2</v>
      </c>
    </row>
    <row r="32" spans="1:5" x14ac:dyDescent="0.6">
      <c r="A32" s="122"/>
      <c r="B32" s="9">
        <v>4</v>
      </c>
      <c r="C32" s="9">
        <f t="shared" si="3"/>
        <v>3.1782962962962911</v>
      </c>
      <c r="D32" s="9">
        <f t="shared" si="2"/>
        <v>0.63565925925925926</v>
      </c>
      <c r="E32" s="9">
        <f t="shared" si="0"/>
        <v>4.7674444444444367E-2</v>
      </c>
    </row>
    <row r="33" spans="1:5" x14ac:dyDescent="0.6">
      <c r="A33" s="122">
        <v>7</v>
      </c>
      <c r="B33" s="9">
        <v>1</v>
      </c>
      <c r="C33" s="9">
        <f t="shared" si="3"/>
        <v>2.5426370370370317</v>
      </c>
      <c r="D33" s="9">
        <f t="shared" si="2"/>
        <v>0.63565925925925926</v>
      </c>
      <c r="E33" s="9">
        <f t="shared" si="0"/>
        <v>3.8139555555555475E-2</v>
      </c>
    </row>
    <row r="34" spans="1:5" x14ac:dyDescent="0.6">
      <c r="A34" s="122"/>
      <c r="B34" s="9">
        <v>2</v>
      </c>
      <c r="C34" s="9">
        <f t="shared" si="3"/>
        <v>1.9069777777777723</v>
      </c>
      <c r="D34" s="9">
        <f t="shared" si="2"/>
        <v>0.63565925925925926</v>
      </c>
      <c r="E34" s="9">
        <f t="shared" si="0"/>
        <v>2.8604666666666584E-2</v>
      </c>
    </row>
    <row r="35" spans="1:5" x14ac:dyDescent="0.6">
      <c r="A35" s="122"/>
      <c r="B35" s="9">
        <v>3</v>
      </c>
      <c r="C35" s="9">
        <f t="shared" si="3"/>
        <v>1.271318518518513</v>
      </c>
      <c r="D35" s="9">
        <f t="shared" si="2"/>
        <v>0.63565925925925926</v>
      </c>
      <c r="E35" s="9">
        <f t="shared" si="0"/>
        <v>1.9069777777777693E-2</v>
      </c>
    </row>
    <row r="36" spans="1:5" x14ac:dyDescent="0.6">
      <c r="A36" s="122"/>
      <c r="B36" s="9">
        <v>4</v>
      </c>
      <c r="C36" s="9">
        <f t="shared" si="3"/>
        <v>0.63565925925925371</v>
      </c>
      <c r="D36" s="65">
        <f>D4-SUM(D9:D35)</f>
        <v>0.63565925925925626</v>
      </c>
      <c r="E36" s="9">
        <f t="shared" si="0"/>
        <v>9.5348888888888046E-3</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37</v>
      </c>
      <c r="C2" t="s">
        <v>38</v>
      </c>
      <c r="D2" t="s">
        <v>39</v>
      </c>
      <c r="E2" t="s">
        <v>40</v>
      </c>
      <c r="F2" t="s">
        <v>41</v>
      </c>
      <c r="G2" t="s">
        <v>42</v>
      </c>
      <c r="H2" t="s">
        <v>43</v>
      </c>
      <c r="I2" t="s">
        <v>44</v>
      </c>
      <c r="J2" t="s">
        <v>45</v>
      </c>
    </row>
    <row r="3" spans="1:10" ht="17" x14ac:dyDescent="0.6">
      <c r="A3" t="s">
        <v>164</v>
      </c>
      <c r="B3" s="33">
        <f>'Ann 4'!C25/100000</f>
        <v>22.217142857142861</v>
      </c>
      <c r="C3" s="33">
        <f>'Ann 4'!D25/100000</f>
        <v>26.475428571428576</v>
      </c>
      <c r="D3" s="33">
        <f>'Ann 4'!E25/100000</f>
        <v>28.512000000000008</v>
      </c>
      <c r="E3" s="33">
        <f>'Ann 4'!F25/100000</f>
        <v>30.548571428571435</v>
      </c>
      <c r="F3" s="33">
        <f>'Ann 4'!G25/100000</f>
        <v>32.58514285714287</v>
      </c>
      <c r="G3" s="1">
        <f>'Ann 4'!H25/100000</f>
        <v>34.621714285714297</v>
      </c>
      <c r="H3" s="1">
        <f>'Ann 4'!I25/100000</f>
        <v>36.658285714285725</v>
      </c>
      <c r="I3" s="1">
        <f>'Ann 4'!J25/100000</f>
        <v>38.694857142857167</v>
      </c>
      <c r="J3" s="1">
        <f>'Ann 4'!K25/100000</f>
        <v>40.731428571428587</v>
      </c>
    </row>
    <row r="4" spans="1:10" ht="17" x14ac:dyDescent="0.6">
      <c r="A4" t="s">
        <v>165</v>
      </c>
      <c r="B4" s="33">
        <f>'Ann 4'!C24/100000</f>
        <v>11.355</v>
      </c>
      <c r="C4" s="33">
        <f>'Ann 4'!D24/100000</f>
        <v>11.641999999999999</v>
      </c>
      <c r="D4" s="33">
        <f>'Ann 4'!E24/100000</f>
        <v>11.956675000000001</v>
      </c>
      <c r="E4" s="33">
        <f>'Ann 4'!F24/100000</f>
        <v>12.301741249999999</v>
      </c>
      <c r="F4" s="33">
        <f>'Ann 4'!G24/100000</f>
        <v>12.6801840625</v>
      </c>
      <c r="G4" s="1">
        <f>'Ann 4'!H24/100000</f>
        <v>13.095284590625001</v>
      </c>
      <c r="H4" s="1">
        <f>'Ann 4'!I24/100000</f>
        <v>13.55064927765625</v>
      </c>
      <c r="I4" s="1">
        <f>'Ann 4'!J24/100000</f>
        <v>14.050242244789064</v>
      </c>
      <c r="J4" s="1">
        <f>'Ann 4'!K24/100000</f>
        <v>14.598420910603521</v>
      </c>
    </row>
    <row r="5" spans="1:10" ht="17" x14ac:dyDescent="0.6">
      <c r="A5" t="s">
        <v>166</v>
      </c>
      <c r="B5" s="33">
        <f>B3-B4</f>
        <v>10.86214285714286</v>
      </c>
      <c r="C5" s="33">
        <f t="shared" ref="C5:J5" si="0">C3-C4</f>
        <v>14.833428571428577</v>
      </c>
      <c r="D5" s="33">
        <f t="shared" si="0"/>
        <v>16.555325000000007</v>
      </c>
      <c r="E5" s="33">
        <f t="shared" si="0"/>
        <v>18.246830178571436</v>
      </c>
      <c r="F5" s="33">
        <f t="shared" si="0"/>
        <v>19.904958794642869</v>
      </c>
      <c r="G5" s="1">
        <f t="shared" si="0"/>
        <v>21.526429695089298</v>
      </c>
      <c r="H5" s="1">
        <f t="shared" si="0"/>
        <v>23.107636436629477</v>
      </c>
      <c r="I5" s="1">
        <f t="shared" si="0"/>
        <v>24.644614898068102</v>
      </c>
      <c r="J5" s="1">
        <f t="shared" si="0"/>
        <v>26.133007660825065</v>
      </c>
    </row>
    <row r="6" spans="1:10" ht="17" x14ac:dyDescent="0.6">
      <c r="A6" t="s">
        <v>167</v>
      </c>
      <c r="B6" s="33">
        <f>B5</f>
        <v>10.86214285714286</v>
      </c>
      <c r="C6" s="33">
        <f t="shared" ref="C6:J6" si="1">C5</f>
        <v>14.833428571428577</v>
      </c>
      <c r="D6" s="33">
        <f t="shared" si="1"/>
        <v>16.555325000000007</v>
      </c>
      <c r="E6" s="33">
        <f t="shared" si="1"/>
        <v>18.246830178571436</v>
      </c>
      <c r="F6" s="33">
        <f t="shared" si="1"/>
        <v>19.904958794642869</v>
      </c>
      <c r="G6" s="1">
        <f t="shared" si="1"/>
        <v>21.526429695089298</v>
      </c>
      <c r="H6" s="1">
        <f t="shared" si="1"/>
        <v>23.107636436629477</v>
      </c>
      <c r="I6" s="1">
        <f t="shared" si="1"/>
        <v>24.644614898068102</v>
      </c>
      <c r="J6" s="1">
        <f t="shared" si="1"/>
        <v>26.133007660825065</v>
      </c>
    </row>
    <row r="7" spans="1:10" ht="17" x14ac:dyDescent="0.6">
      <c r="A7" t="s">
        <v>168</v>
      </c>
      <c r="B7" s="80">
        <f>'Ann 4'!C36/100000</f>
        <v>6.3421795238095253</v>
      </c>
      <c r="C7" s="80">
        <f>'Ann 4'!D36/100000</f>
        <v>11.379308571428577</v>
      </c>
      <c r="D7" s="80">
        <f>'Ann 4'!E36/100000</f>
        <v>13.613160222222232</v>
      </c>
      <c r="E7" s="80">
        <f>'Ann 4'!F36/100000</f>
        <v>15.762711073015883</v>
      </c>
      <c r="F7" s="80">
        <f>'Ann 4'!G36/100000</f>
        <v>17.833062243809536</v>
      </c>
      <c r="G7" s="5">
        <f>'Ann 4'!H36/100000</f>
        <v>19.827806049103188</v>
      </c>
      <c r="H7" s="5">
        <f>'Ann 4'!I36/100000</f>
        <v>21.749178493096839</v>
      </c>
      <c r="I7" s="5">
        <f>'Ann 4'!J36/100000</f>
        <v>23.540972201620914</v>
      </c>
      <c r="J7" s="5">
        <f>'Ann 4'!K36/100000</f>
        <v>25.164911368844955</v>
      </c>
    </row>
    <row r="8" spans="1:10" ht="17" x14ac:dyDescent="0.6">
      <c r="A8" t="s">
        <v>169</v>
      </c>
      <c r="B8" s="80">
        <f>'Ann 4'!C38/100000</f>
        <v>4.2895256666666679</v>
      </c>
      <c r="C8" s="80">
        <f>'Ann 4'!D38/100000</f>
        <v>7.9655160000000045</v>
      </c>
      <c r="D8" s="80">
        <f>'Ann 4'!E38/100000</f>
        <v>9.5292121555555642</v>
      </c>
      <c r="E8" s="80">
        <f>'Ann 4'!F38/100000</f>
        <v>11.033897751111118</v>
      </c>
      <c r="F8" s="80">
        <f>'Ann 4'!G38/100000</f>
        <v>12.483143570666677</v>
      </c>
      <c r="G8" s="5">
        <f>'Ann 4'!H38/100000</f>
        <v>13.879464234372232</v>
      </c>
      <c r="H8" s="5">
        <f>'Ann 4'!I38/100000</f>
        <v>15.224424945167787</v>
      </c>
      <c r="I8" s="5">
        <f>'Ann 4'!J38/100000</f>
        <v>16.47868054113464</v>
      </c>
      <c r="J8" s="5">
        <f>'Ann 4'!K38/100000</f>
        <v>17.615437958191471</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8"/>
  <sheetViews>
    <sheetView workbookViewId="0"/>
  </sheetViews>
  <sheetFormatPr defaultRowHeight="17" x14ac:dyDescent="0.6"/>
  <cols>
    <col min="1" max="1" width="41.1796875" style="8" bestFit="1" customWidth="1"/>
    <col min="2" max="2" width="14.7265625" style="8" customWidth="1"/>
    <col min="3" max="11" width="14.7265625" style="8" bestFit="1" customWidth="1"/>
    <col min="12" max="12" width="13.6328125" style="8" bestFit="1" customWidth="1"/>
    <col min="13" max="16384" width="8.7265625" style="8"/>
  </cols>
  <sheetData>
    <row r="1" spans="1:11" x14ac:dyDescent="0.6">
      <c r="A1" s="7" t="s">
        <v>217</v>
      </c>
      <c r="B1" s="7"/>
    </row>
    <row r="2" spans="1:11" x14ac:dyDescent="0.6">
      <c r="A2" s="7"/>
      <c r="B2" s="7"/>
    </row>
    <row r="3" spans="1:11" x14ac:dyDescent="0.6">
      <c r="A3" s="45" t="s">
        <v>3</v>
      </c>
      <c r="B3" s="45">
        <v>0</v>
      </c>
      <c r="C3" s="45" t="s">
        <v>37</v>
      </c>
      <c r="D3" s="45" t="s">
        <v>38</v>
      </c>
      <c r="E3" s="45" t="s">
        <v>39</v>
      </c>
      <c r="F3" s="45" t="s">
        <v>40</v>
      </c>
      <c r="G3" s="45" t="s">
        <v>41</v>
      </c>
      <c r="H3" s="45" t="s">
        <v>42</v>
      </c>
      <c r="I3" s="45" t="s">
        <v>43</v>
      </c>
      <c r="J3" s="45" t="s">
        <v>44</v>
      </c>
      <c r="K3" s="45" t="s">
        <v>45</v>
      </c>
    </row>
    <row r="4" spans="1:11" x14ac:dyDescent="0.6">
      <c r="A4" s="9" t="s">
        <v>141</v>
      </c>
      <c r="B4" s="43">
        <f>'Ann 2'!C7*100000</f>
        <v>200000</v>
      </c>
      <c r="C4" s="43">
        <f>B27</f>
        <v>199999.99999999977</v>
      </c>
      <c r="D4" s="43">
        <f>C27</f>
        <v>295163.21174603119</v>
      </c>
      <c r="E4" s="43">
        <f t="shared" ref="E4:K4" si="0">D27</f>
        <v>404322.11375661381</v>
      </c>
      <c r="F4" s="43">
        <f t="shared" si="0"/>
        <v>527329.52459259273</v>
      </c>
      <c r="G4" s="43">
        <f t="shared" si="0"/>
        <v>649881.90233968303</v>
      </c>
      <c r="H4" s="43">
        <f t="shared" si="0"/>
        <v>775452.76322788396</v>
      </c>
      <c r="I4" s="43">
        <f t="shared" si="0"/>
        <v>906878.56912769668</v>
      </c>
      <c r="J4" s="43">
        <f t="shared" si="0"/>
        <v>1046442.8412202948</v>
      </c>
      <c r="K4" s="43">
        <f t="shared" si="0"/>
        <v>1449409.2931162773</v>
      </c>
    </row>
    <row r="5" spans="1:11" x14ac:dyDescent="0.6">
      <c r="A5" s="9" t="s">
        <v>171</v>
      </c>
      <c r="B5" s="43">
        <f>'Ann 2'!C4*100000</f>
        <v>212920.00000000003</v>
      </c>
      <c r="C5" s="43">
        <v>0</v>
      </c>
      <c r="D5" s="43">
        <v>0</v>
      </c>
      <c r="E5" s="43">
        <v>0</v>
      </c>
      <c r="F5" s="43">
        <v>0</v>
      </c>
      <c r="G5" s="43">
        <v>0</v>
      </c>
      <c r="H5" s="43">
        <v>0</v>
      </c>
      <c r="I5" s="43">
        <v>0</v>
      </c>
      <c r="J5" s="43">
        <v>0</v>
      </c>
      <c r="K5" s="43">
        <v>0</v>
      </c>
    </row>
    <row r="6" spans="1:11" x14ac:dyDescent="0.6">
      <c r="A6" s="9" t="s">
        <v>172</v>
      </c>
      <c r="B6" s="43">
        <f>'Ann 2'!C6*100000</f>
        <v>1716280</v>
      </c>
      <c r="C6" s="43">
        <v>0</v>
      </c>
      <c r="D6" s="43">
        <v>0</v>
      </c>
      <c r="E6" s="43">
        <v>0</v>
      </c>
      <c r="F6" s="43">
        <v>0</v>
      </c>
      <c r="G6" s="43">
        <v>0</v>
      </c>
      <c r="H6" s="43">
        <v>0</v>
      </c>
      <c r="I6" s="43">
        <v>0</v>
      </c>
      <c r="J6" s="43">
        <v>0</v>
      </c>
      <c r="K6" s="43">
        <v>0</v>
      </c>
    </row>
    <row r="7" spans="1:11" x14ac:dyDescent="0.6">
      <c r="A7" s="9" t="s">
        <v>173</v>
      </c>
      <c r="B7" s="43">
        <f>'Ann 9'!F9*100000</f>
        <v>1879200.0000000002</v>
      </c>
      <c r="C7" s="43">
        <v>0</v>
      </c>
      <c r="D7" s="43">
        <v>0</v>
      </c>
      <c r="E7" s="43">
        <v>0</v>
      </c>
      <c r="F7" s="43">
        <v>0</v>
      </c>
      <c r="G7" s="43">
        <v>0</v>
      </c>
      <c r="H7" s="43">
        <v>0</v>
      </c>
      <c r="I7" s="43">
        <v>0</v>
      </c>
      <c r="J7" s="43">
        <v>0</v>
      </c>
      <c r="K7" s="43">
        <v>0</v>
      </c>
    </row>
    <row r="8" spans="1:11" x14ac:dyDescent="0.6">
      <c r="A8" s="9" t="s">
        <v>295</v>
      </c>
      <c r="B8" s="43">
        <f>Input!B20*Input!B21</f>
        <v>0</v>
      </c>
      <c r="C8" s="43">
        <v>0</v>
      </c>
      <c r="D8" s="43">
        <v>0</v>
      </c>
      <c r="E8" s="43">
        <v>0</v>
      </c>
      <c r="F8" s="43">
        <v>0</v>
      </c>
      <c r="G8" s="43">
        <v>0</v>
      </c>
      <c r="H8" s="43">
        <v>0</v>
      </c>
      <c r="I8" s="43">
        <v>0</v>
      </c>
      <c r="J8" s="43">
        <v>0</v>
      </c>
      <c r="K8" s="43">
        <v>0</v>
      </c>
    </row>
    <row r="9" spans="1:11" x14ac:dyDescent="0.6">
      <c r="A9" s="9" t="s">
        <v>142</v>
      </c>
      <c r="B9" s="43">
        <v>0</v>
      </c>
      <c r="C9" s="43">
        <f>'Ann 4'!C25-'Ann 5'!C13</f>
        <v>2036571.4285714286</v>
      </c>
      <c r="D9" s="43">
        <f>'Ann 4'!D25-'Ann 5'!D13</f>
        <v>2426914.2857142864</v>
      </c>
      <c r="E9" s="43">
        <f>'Ann 4'!E25-'Ann 5'!E13</f>
        <v>2613600.0000000009</v>
      </c>
      <c r="F9" s="43">
        <f>'Ann 4'!F25-'Ann 5'!F13</f>
        <v>2800285.714285715</v>
      </c>
      <c r="G9" s="43">
        <f>'Ann 4'!G25-'Ann 5'!G13</f>
        <v>2986971.4285714296</v>
      </c>
      <c r="H9" s="43">
        <f>'Ann 4'!H25-'Ann 5'!H13</f>
        <v>3173657.1428571441</v>
      </c>
      <c r="I9" s="43">
        <f>'Ann 4'!I25-'Ann 5'!I13</f>
        <v>3360342.8571428582</v>
      </c>
      <c r="J9" s="43">
        <f>'Ann 4'!J25-'Ann 5'!J13</f>
        <v>3547028.5714285732</v>
      </c>
      <c r="K9" s="43">
        <f>'Ann 4'!K25-'Ann 5'!K13</f>
        <v>3733714.2857142873</v>
      </c>
    </row>
    <row r="10" spans="1:11" x14ac:dyDescent="0.6">
      <c r="A10" s="9" t="s">
        <v>150</v>
      </c>
      <c r="B10" s="43">
        <v>0</v>
      </c>
      <c r="C10" s="43">
        <v>0</v>
      </c>
      <c r="D10" s="43">
        <f>'Ann 5'!C24</f>
        <v>53333.333333333336</v>
      </c>
      <c r="E10" s="43">
        <f>'Ann 5'!D24</f>
        <v>53333.333333333336</v>
      </c>
      <c r="F10" s="43">
        <f>'Ann 5'!E24</f>
        <v>53333.333333333336</v>
      </c>
      <c r="G10" s="43">
        <f>'Ann 5'!F24</f>
        <v>53333.333333333336</v>
      </c>
      <c r="H10" s="43">
        <f>'Ann 5'!G24</f>
        <v>53333.333333333336</v>
      </c>
      <c r="I10" s="43">
        <f>'Ann 5'!H24</f>
        <v>53333.333333333336</v>
      </c>
      <c r="J10" s="43">
        <f>'Ann 5'!I24</f>
        <v>53333.333333333336</v>
      </c>
      <c r="K10" s="43">
        <f>'Ann 5'!J24</f>
        <v>53333.333333333336</v>
      </c>
    </row>
    <row r="11" spans="1:11" x14ac:dyDescent="0.6">
      <c r="A11" s="9" t="s">
        <v>151</v>
      </c>
      <c r="B11" s="43">
        <v>0</v>
      </c>
      <c r="C11" s="43">
        <v>0</v>
      </c>
      <c r="D11" s="43">
        <f>'Ann 5'!C13</f>
        <v>185142.85714285716</v>
      </c>
      <c r="E11" s="43">
        <f>'Ann 5'!D13</f>
        <v>220628.57142857148</v>
      </c>
      <c r="F11" s="43">
        <f>'Ann 5'!E13</f>
        <v>237600.00000000009</v>
      </c>
      <c r="G11" s="43">
        <f>'Ann 5'!F13</f>
        <v>254571.42857142864</v>
      </c>
      <c r="H11" s="43">
        <f>'Ann 5'!G13</f>
        <v>271542.85714285728</v>
      </c>
      <c r="I11" s="43">
        <f>'Ann 5'!H13</f>
        <v>288514.2857142858</v>
      </c>
      <c r="J11" s="43">
        <f>'Ann 5'!I13</f>
        <v>305485.71428571438</v>
      </c>
      <c r="K11" s="43">
        <f>'Ann 5'!J13</f>
        <v>322457.14285714302</v>
      </c>
    </row>
    <row r="12" spans="1:11" x14ac:dyDescent="0.6">
      <c r="A12" s="9" t="s">
        <v>286</v>
      </c>
      <c r="B12" s="43">
        <v>0</v>
      </c>
      <c r="C12" s="43">
        <f>'Ann 4'!C10</f>
        <v>41000</v>
      </c>
      <c r="D12" s="43">
        <f>'Ann 4'!D10</f>
        <v>43050</v>
      </c>
      <c r="E12" s="43">
        <f>'Ann 4'!E10</f>
        <v>45202.5</v>
      </c>
      <c r="F12" s="43">
        <f>'Ann 4'!F10</f>
        <v>47462.625</v>
      </c>
      <c r="G12" s="43">
        <f>'Ann 4'!G10</f>
        <v>49835.756249999999</v>
      </c>
      <c r="H12" s="43">
        <f>'Ann 4'!H10</f>
        <v>52327.544062499997</v>
      </c>
      <c r="I12" s="43">
        <f>'Ann 4'!I10</f>
        <v>54943.921265625002</v>
      </c>
      <c r="J12" s="43">
        <f>'Ann 4'!J10</f>
        <v>57691.117328906257</v>
      </c>
      <c r="K12" s="43">
        <f>'Ann 4'!K10</f>
        <v>60575.67319535157</v>
      </c>
    </row>
    <row r="13" spans="1:11" x14ac:dyDescent="0.6">
      <c r="A13" s="9" t="s">
        <v>287</v>
      </c>
      <c r="B13" s="43">
        <v>0</v>
      </c>
      <c r="C13" s="43">
        <f>'Ann 4'!C11-'Ann 5'!C24</f>
        <v>266666.66666666669</v>
      </c>
      <c r="D13" s="43">
        <f>'Ann 4'!D11-'Ann 5'!D24</f>
        <v>266666.66666666669</v>
      </c>
      <c r="E13" s="43">
        <f>'Ann 4'!E11-'Ann 5'!E24</f>
        <v>266666.66666666669</v>
      </c>
      <c r="F13" s="43">
        <f>'Ann 4'!F11-'Ann 5'!F24</f>
        <v>266666.66666666669</v>
      </c>
      <c r="G13" s="43">
        <f>'Ann 4'!G11-'Ann 5'!G24</f>
        <v>266666.66666666669</v>
      </c>
      <c r="H13" s="43">
        <f>'Ann 4'!H11-'Ann 5'!H24</f>
        <v>266666.66666666669</v>
      </c>
      <c r="I13" s="43">
        <f>'Ann 4'!I11-'Ann 5'!I24</f>
        <v>266666.66666666669</v>
      </c>
      <c r="J13" s="43">
        <f>'Ann 4'!J11-'Ann 5'!J24</f>
        <v>266666.66666666669</v>
      </c>
      <c r="K13" s="43">
        <f>'Ann 4'!K11-'Ann 5'!K24</f>
        <v>266666.66666666669</v>
      </c>
    </row>
    <row r="14" spans="1:11" x14ac:dyDescent="0.6">
      <c r="A14" s="9" t="s">
        <v>293</v>
      </c>
      <c r="B14" s="43">
        <v>0</v>
      </c>
      <c r="C14" s="43">
        <f>'Ann 4'!C12</f>
        <v>204000</v>
      </c>
      <c r="D14" s="43">
        <f>'Ann 4'!D12</f>
        <v>224400.00000000003</v>
      </c>
      <c r="E14" s="43">
        <f>'Ann 4'!E12</f>
        <v>246840.00000000006</v>
      </c>
      <c r="F14" s="43">
        <f>'Ann 4'!F12</f>
        <v>271524.00000000006</v>
      </c>
      <c r="G14" s="43">
        <f>'Ann 4'!G12</f>
        <v>298676.40000000008</v>
      </c>
      <c r="H14" s="43">
        <f>'Ann 4'!H12</f>
        <v>328544.0400000001</v>
      </c>
      <c r="I14" s="43">
        <f>'Ann 4'!I12</f>
        <v>361398.44400000013</v>
      </c>
      <c r="J14" s="43">
        <f>'Ann 4'!J12</f>
        <v>397538.28840000019</v>
      </c>
      <c r="K14" s="43">
        <f>'Ann 4'!K12</f>
        <v>437292.11724000023</v>
      </c>
    </row>
    <row r="15" spans="1:11" x14ac:dyDescent="0.6">
      <c r="A15" s="9" t="s">
        <v>288</v>
      </c>
      <c r="B15" s="43">
        <v>0</v>
      </c>
      <c r="C15" s="43">
        <f>'Ann 4'!C16+'Ann 4'!C17+'Ann 4'!C18</f>
        <v>288000</v>
      </c>
      <c r="D15" s="43">
        <f>'Ann 4'!D16+'Ann 4'!D17+'Ann 4'!D18</f>
        <v>288000</v>
      </c>
      <c r="E15" s="43">
        <f>'Ann 4'!E16+'Ann 4'!E17+'Ann 4'!E18</f>
        <v>288000</v>
      </c>
      <c r="F15" s="43">
        <f>'Ann 4'!F16+'Ann 4'!F17+'Ann 4'!F18</f>
        <v>288000</v>
      </c>
      <c r="G15" s="43">
        <f>'Ann 4'!G16+'Ann 4'!G17+'Ann 4'!G18</f>
        <v>288000</v>
      </c>
      <c r="H15" s="43">
        <f>'Ann 4'!H16+'Ann 4'!H17+'Ann 4'!H18</f>
        <v>288000</v>
      </c>
      <c r="I15" s="43">
        <f>'Ann 4'!I16+'Ann 4'!I17+'Ann 4'!I18</f>
        <v>288000</v>
      </c>
      <c r="J15" s="43">
        <f>'Ann 4'!J16+'Ann 4'!J17+'Ann 4'!J18</f>
        <v>288000</v>
      </c>
      <c r="K15" s="43">
        <f>'Ann 4'!K16+'Ann 4'!K17+'Ann 4'!K18</f>
        <v>288000</v>
      </c>
    </row>
    <row r="16" spans="1:11" x14ac:dyDescent="0.6">
      <c r="A16" s="9" t="s">
        <v>309</v>
      </c>
      <c r="B16" s="43">
        <v>0</v>
      </c>
      <c r="C16" s="43">
        <f>'Ann 4'!C21</f>
        <v>100000</v>
      </c>
      <c r="D16" s="43">
        <f>'Ann 4'!D21</f>
        <v>100000</v>
      </c>
      <c r="E16" s="43">
        <f>'Ann 4'!E21</f>
        <v>100000</v>
      </c>
      <c r="F16" s="43">
        <f>'Ann 4'!F21</f>
        <v>100000</v>
      </c>
      <c r="G16" s="43">
        <f>'Ann 4'!G21</f>
        <v>100000</v>
      </c>
      <c r="H16" s="43">
        <f>'Ann 4'!H21</f>
        <v>100000</v>
      </c>
      <c r="I16" s="43">
        <f>'Ann 4'!I21</f>
        <v>100000</v>
      </c>
      <c r="J16" s="43">
        <f>'Ann 4'!J21</f>
        <v>100000</v>
      </c>
      <c r="K16" s="43">
        <f>'Ann 4'!K21</f>
        <v>100000</v>
      </c>
    </row>
    <row r="17" spans="1:12" x14ac:dyDescent="0.6">
      <c r="A17" s="9" t="s">
        <v>289</v>
      </c>
      <c r="B17" s="43">
        <v>0</v>
      </c>
      <c r="C17" s="43">
        <f>'Ann 4'!C19</f>
        <v>62500</v>
      </c>
      <c r="D17" s="43">
        <f>'Ann 4'!D19</f>
        <v>68750</v>
      </c>
      <c r="E17" s="43">
        <f>'Ann 4'!E19</f>
        <v>75625</v>
      </c>
      <c r="F17" s="43">
        <f>'Ann 4'!F19</f>
        <v>83187.5</v>
      </c>
      <c r="G17" s="43">
        <f>'Ann 4'!G19</f>
        <v>91506.250000000015</v>
      </c>
      <c r="H17" s="43">
        <f>'Ann 4'!H19</f>
        <v>100656.87500000003</v>
      </c>
      <c r="I17" s="43">
        <f>'Ann 4'!I19</f>
        <v>110722.56250000004</v>
      </c>
      <c r="J17" s="43">
        <f>'Ann 4'!J19</f>
        <v>121794.81875000006</v>
      </c>
      <c r="K17" s="43">
        <f>'Ann 4'!K19</f>
        <v>133974.30062500009</v>
      </c>
    </row>
    <row r="18" spans="1:12" x14ac:dyDescent="0.6">
      <c r="A18" s="9" t="s">
        <v>290</v>
      </c>
      <c r="B18" s="43">
        <v>0</v>
      </c>
      <c r="C18" s="43">
        <f>'Ann 4'!C20</f>
        <v>120000</v>
      </c>
      <c r="D18" s="43">
        <f>'Ann 4'!D20</f>
        <v>120000</v>
      </c>
      <c r="E18" s="43">
        <f>'Ann 4'!E20</f>
        <v>120000</v>
      </c>
      <c r="F18" s="43">
        <f>'Ann 4'!F20</f>
        <v>120000</v>
      </c>
      <c r="G18" s="43">
        <f>'Ann 4'!G20</f>
        <v>120000</v>
      </c>
      <c r="H18" s="43">
        <f>'Ann 4'!H20</f>
        <v>120000</v>
      </c>
      <c r="I18" s="43">
        <f>'Ann 4'!I20</f>
        <v>120000</v>
      </c>
      <c r="J18" s="43">
        <f>'Ann 4'!J20</f>
        <v>120000</v>
      </c>
      <c r="K18" s="43">
        <f>'Ann 4'!K20</f>
        <v>120000</v>
      </c>
    </row>
    <row r="19" spans="1:12" x14ac:dyDescent="0.6">
      <c r="A19" s="9" t="s">
        <v>209</v>
      </c>
      <c r="B19" s="43">
        <f>'Ann 4'!C34</f>
        <v>50000</v>
      </c>
      <c r="C19" s="43">
        <v>0</v>
      </c>
      <c r="D19" s="43">
        <v>0</v>
      </c>
      <c r="E19" s="43">
        <v>0</v>
      </c>
      <c r="F19" s="43">
        <v>0</v>
      </c>
      <c r="G19" s="43">
        <v>0</v>
      </c>
      <c r="H19" s="43">
        <v>0</v>
      </c>
      <c r="I19" s="43">
        <v>0</v>
      </c>
      <c r="J19" s="43">
        <v>0</v>
      </c>
      <c r="K19" s="43">
        <v>0</v>
      </c>
    </row>
    <row r="20" spans="1:12" x14ac:dyDescent="0.6">
      <c r="A20" s="9" t="s">
        <v>143</v>
      </c>
      <c r="B20" s="43">
        <v>0</v>
      </c>
      <c r="C20" s="43">
        <f>'Ann 4'!C31</f>
        <v>120116.33333333334</v>
      </c>
      <c r="D20" s="43">
        <f>'Ann 4'!D31</f>
        <v>105813.99999999999</v>
      </c>
      <c r="E20" s="43">
        <f>'Ann 4'!E31</f>
        <v>90558.177777777746</v>
      </c>
      <c r="F20" s="43">
        <f>'Ann 4'!F31</f>
        <v>75302.355555555521</v>
      </c>
      <c r="G20" s="43">
        <f>'Ann 4'!G31</f>
        <v>60046.533333333304</v>
      </c>
      <c r="H20" s="43">
        <f>'Ann 4'!H31</f>
        <v>44790.711111111079</v>
      </c>
      <c r="I20" s="43">
        <f>'Ann 4'!I31</f>
        <v>29534.888888888854</v>
      </c>
      <c r="J20" s="43">
        <f>'Ann 4'!J31</f>
        <v>20000</v>
      </c>
      <c r="K20" s="43">
        <f>'Ann 4'!K31</f>
        <v>20000</v>
      </c>
    </row>
    <row r="21" spans="1:12" x14ac:dyDescent="0.6">
      <c r="A21" s="9"/>
      <c r="B21" s="43">
        <f>B4+B5+B6-B7-B19-B8</f>
        <v>199999.99999999977</v>
      </c>
      <c r="C21" s="43">
        <f>C4+C5+C6-C7-C8+C9-C10+C11-C12-C13-C14-C15-C17-C18-C19-C20-C16</f>
        <v>1034288.4285714282</v>
      </c>
      <c r="D21" s="43">
        <f t="shared" ref="D21:K21" si="1">D4+D5+D6-D7-D8+D9-D10+D11-D12-D13-D14-D15-D17-D18-D19-D20-D16</f>
        <v>1637206.3546031751</v>
      </c>
      <c r="E21" s="43">
        <f t="shared" si="1"/>
        <v>1952325.0074074084</v>
      </c>
      <c r="F21" s="43">
        <f t="shared" si="1"/>
        <v>2259738.7583227525</v>
      </c>
      <c r="G21" s="43">
        <f t="shared" si="1"/>
        <v>2563359.8198992079</v>
      </c>
      <c r="H21" s="43">
        <f t="shared" si="1"/>
        <v>2866333.5930542746</v>
      </c>
      <c r="I21" s="43">
        <f t="shared" si="1"/>
        <v>3171135.8953303262</v>
      </c>
      <c r="J21" s="43">
        <f t="shared" si="1"/>
        <v>3473932.9024556759</v>
      </c>
      <c r="K21" s="43">
        <f t="shared" si="1"/>
        <v>4025738.6306273546</v>
      </c>
    </row>
    <row r="22" spans="1:12" x14ac:dyDescent="0.6">
      <c r="A22" s="9" t="s">
        <v>153</v>
      </c>
      <c r="B22" s="43">
        <v>0</v>
      </c>
      <c r="C22" s="43">
        <f>'Ann 4'!C37</f>
        <v>205265.38571428575</v>
      </c>
      <c r="D22" s="43">
        <f>'Ann 4'!D37</f>
        <v>341379.2571428573</v>
      </c>
      <c r="E22" s="43">
        <f>'Ann 4'!E37</f>
        <v>408394.80666666693</v>
      </c>
      <c r="F22" s="43">
        <f>'Ann 4'!F37</f>
        <v>472881.33219047642</v>
      </c>
      <c r="G22" s="43">
        <f>'Ann 4'!G37</f>
        <v>534991.86731428606</v>
      </c>
      <c r="H22" s="43">
        <f>'Ann 4'!H37</f>
        <v>594834.18147309567</v>
      </c>
      <c r="I22" s="43">
        <f>'Ann 4'!I37</f>
        <v>652475.35479290516</v>
      </c>
      <c r="J22" s="43">
        <f>'Ann 4'!J37</f>
        <v>706229.16604862735</v>
      </c>
      <c r="K22" s="43">
        <f>'Ann 4'!K37</f>
        <v>754947.34106534871</v>
      </c>
    </row>
    <row r="23" spans="1:12" x14ac:dyDescent="0.6">
      <c r="A23" s="9"/>
      <c r="B23" s="43">
        <v>0</v>
      </c>
      <c r="C23" s="43">
        <f>C21-C22</f>
        <v>829023.0428571424</v>
      </c>
      <c r="D23" s="43">
        <f t="shared" ref="D23:K23" si="2">D21-D22</f>
        <v>1295827.0974603179</v>
      </c>
      <c r="E23" s="43">
        <f t="shared" si="2"/>
        <v>1543930.2007407416</v>
      </c>
      <c r="F23" s="43">
        <f t="shared" si="2"/>
        <v>1786857.4261322762</v>
      </c>
      <c r="G23" s="43">
        <f t="shared" si="2"/>
        <v>2028367.9525849218</v>
      </c>
      <c r="H23" s="43">
        <f t="shared" si="2"/>
        <v>2271499.4115811791</v>
      </c>
      <c r="I23" s="43">
        <f t="shared" si="2"/>
        <v>2518660.5405374211</v>
      </c>
      <c r="J23" s="43">
        <f t="shared" si="2"/>
        <v>2767703.7364070485</v>
      </c>
      <c r="K23" s="43">
        <f t="shared" si="2"/>
        <v>3270791.289562006</v>
      </c>
    </row>
    <row r="24" spans="1:12" x14ac:dyDescent="0.6">
      <c r="A24" s="9" t="s">
        <v>152</v>
      </c>
      <c r="B24" s="43">
        <v>0</v>
      </c>
      <c r="C24" s="43">
        <f>'Ann 4'!C39</f>
        <v>343162.05333333346</v>
      </c>
      <c r="D24" s="43">
        <f>'Ann 4'!D39</f>
        <v>637241.28000000038</v>
      </c>
      <c r="E24" s="43">
        <f>'Ann 4'!E39</f>
        <v>762336.97244444513</v>
      </c>
      <c r="F24" s="43">
        <f>'Ann 4'!F39</f>
        <v>882711.82008888945</v>
      </c>
      <c r="G24" s="43">
        <f>'Ann 4'!G39</f>
        <v>998651.48565333418</v>
      </c>
      <c r="H24" s="43">
        <f>'Ann 4'!H39</f>
        <v>1110357.1387497787</v>
      </c>
      <c r="I24" s="43">
        <f>'Ann 4'!I39</f>
        <v>1217953.9956134229</v>
      </c>
      <c r="J24" s="43">
        <f>'Ann 4'!J39</f>
        <v>1318294.4432907712</v>
      </c>
      <c r="K24" s="43">
        <f>'Ann 4'!K39</f>
        <v>1409235.0366553178</v>
      </c>
    </row>
    <row r="25" spans="1:12" x14ac:dyDescent="0.6">
      <c r="A25" s="9"/>
      <c r="B25" s="43">
        <v>0</v>
      </c>
      <c r="C25" s="43">
        <f>C23-C24</f>
        <v>485860.98952380894</v>
      </c>
      <c r="D25" s="43">
        <f t="shared" ref="D25:K25" si="3">D23-D24</f>
        <v>658585.81746031751</v>
      </c>
      <c r="E25" s="43">
        <f t="shared" si="3"/>
        <v>781593.22829629644</v>
      </c>
      <c r="F25" s="43">
        <f t="shared" si="3"/>
        <v>904145.60604338674</v>
      </c>
      <c r="G25" s="43">
        <f t="shared" si="3"/>
        <v>1029716.4669315877</v>
      </c>
      <c r="H25" s="43">
        <f t="shared" si="3"/>
        <v>1161142.2728314004</v>
      </c>
      <c r="I25" s="43">
        <f t="shared" si="3"/>
        <v>1300706.5449239982</v>
      </c>
      <c r="J25" s="43">
        <f t="shared" si="3"/>
        <v>1449409.2931162773</v>
      </c>
      <c r="K25" s="43">
        <f t="shared" si="3"/>
        <v>1861556.2529066883</v>
      </c>
    </row>
    <row r="26" spans="1:12" x14ac:dyDescent="0.6">
      <c r="A26" s="9" t="s">
        <v>154</v>
      </c>
      <c r="B26" s="43">
        <v>0</v>
      </c>
      <c r="C26" s="43">
        <f>SUM('Ann 13'!D9:D12)*100000</f>
        <v>190697.77777777775</v>
      </c>
      <c r="D26" s="43">
        <f>SUM('Ann 13'!D13:D16)*100000</f>
        <v>254263.70370370371</v>
      </c>
      <c r="E26" s="43">
        <f>SUM('Ann 13'!D17:D20)*100000</f>
        <v>254263.70370370371</v>
      </c>
      <c r="F26" s="43">
        <f>SUM('Ann 13'!D21:D24)*100000</f>
        <v>254263.70370370371</v>
      </c>
      <c r="G26" s="43">
        <f>SUM('Ann 13'!D25:D28)*100000</f>
        <v>254263.70370370371</v>
      </c>
      <c r="H26" s="43">
        <f>SUM('Ann 13'!D29:D32)*100000</f>
        <v>254263.70370370371</v>
      </c>
      <c r="I26" s="43">
        <f>SUM('Ann 13'!D33:D36)*100000</f>
        <v>254263.70370370339</v>
      </c>
      <c r="J26" s="43">
        <v>0</v>
      </c>
      <c r="K26" s="43">
        <v>0</v>
      </c>
    </row>
    <row r="27" spans="1:12" x14ac:dyDescent="0.6">
      <c r="A27" s="9" t="s">
        <v>155</v>
      </c>
      <c r="B27" s="43">
        <f>B21-B22-B24-B26</f>
        <v>199999.99999999977</v>
      </c>
      <c r="C27" s="43">
        <f>C25-C26</f>
        <v>295163.21174603119</v>
      </c>
      <c r="D27" s="43">
        <f t="shared" ref="D27:K27" si="4">D25-D26</f>
        <v>404322.11375661381</v>
      </c>
      <c r="E27" s="43">
        <f t="shared" si="4"/>
        <v>527329.52459259273</v>
      </c>
      <c r="F27" s="43">
        <f t="shared" si="4"/>
        <v>649881.90233968303</v>
      </c>
      <c r="G27" s="43">
        <f t="shared" si="4"/>
        <v>775452.76322788396</v>
      </c>
      <c r="H27" s="43">
        <f t="shared" si="4"/>
        <v>906878.56912769668</v>
      </c>
      <c r="I27" s="43">
        <f t="shared" si="4"/>
        <v>1046442.8412202948</v>
      </c>
      <c r="J27" s="43">
        <f t="shared" si="4"/>
        <v>1449409.2931162773</v>
      </c>
      <c r="K27" s="43">
        <f t="shared" si="4"/>
        <v>1861556.2529066883</v>
      </c>
    </row>
    <row r="28" spans="1:12" x14ac:dyDescent="0.6">
      <c r="B28" s="39"/>
    </row>
    <row r="29" spans="1:12" x14ac:dyDescent="0.6">
      <c r="A29" s="82" t="s">
        <v>156</v>
      </c>
      <c r="B29" s="83">
        <v>0.06</v>
      </c>
      <c r="C29" s="84"/>
      <c r="D29" s="82"/>
      <c r="E29" s="82"/>
      <c r="F29" s="82"/>
      <c r="G29" s="82"/>
      <c r="H29" s="82"/>
      <c r="I29" s="82"/>
      <c r="J29" s="82"/>
      <c r="K29" s="82"/>
      <c r="L29" s="82"/>
    </row>
    <row r="30" spans="1:12" x14ac:dyDescent="0.6">
      <c r="A30" s="82" t="s">
        <v>157</v>
      </c>
      <c r="B30" s="82">
        <v>1</v>
      </c>
      <c r="C30" s="85">
        <f>1/(1+$B$29)</f>
        <v>0.94339622641509424</v>
      </c>
      <c r="D30" s="85">
        <f>1/((1+$B$29)*(1+$B$29))</f>
        <v>0.88999644001423983</v>
      </c>
      <c r="E30" s="85">
        <f>1/((1+$B$29)*(1+$B$29)*(1+$B$29))</f>
        <v>0.8396192830323016</v>
      </c>
      <c r="F30" s="85">
        <f>1/((1+$B$29)*(1+$B$29)*(1+$B$29)*(1+$B$29))</f>
        <v>0.79209366323802044</v>
      </c>
      <c r="G30" s="85">
        <f>1/((1+$B$29)*(1+$B$29)*(1+$B$29)*(1+$B$29)*(1+$B$29))</f>
        <v>0.74725817286605689</v>
      </c>
      <c r="H30" s="85">
        <f>1/((1+$B$29)*(1+$B$29)*(1+$B$29)*(1+$B$29)*(1+$B$29)*(1+$B$29))</f>
        <v>0.70496054043967626</v>
      </c>
      <c r="I30" s="85">
        <f>1/((1+$B$29)*(1+$B$29)*(1+$B$29)*(1+$B$29)*(1+$B$29)*(1+$B$29)*(1+$B$29))</f>
        <v>0.6650571136223361</v>
      </c>
      <c r="J30" s="85">
        <f>1/((1+$B$29)*(1+$B$29)*(1+$B$29)*(1+$B$29)*(1+$B$29)*(1+$B$29)*(1+$B$29)*(1+$B$29))</f>
        <v>0.62741237134182648</v>
      </c>
      <c r="K30" s="85">
        <f>1/((1+$B$29)*(1+$B$29)*(1+$B$29)*(1+$B$29)*(1+$B$29)*(1+$B$29)*(1+$B$29)*(1+$B$29)*(1+$B$29))</f>
        <v>0.59189846353002495</v>
      </c>
      <c r="L30" s="82"/>
    </row>
    <row r="31" spans="1:12" x14ac:dyDescent="0.6">
      <c r="A31" s="82" t="s">
        <v>158</v>
      </c>
      <c r="B31" s="82">
        <f>B4+B9+B11+B5+B6</f>
        <v>2129200</v>
      </c>
      <c r="C31" s="82">
        <f>C4+C9+C11+C5+C6</f>
        <v>2236571.4285714282</v>
      </c>
      <c r="D31" s="82">
        <f t="shared" ref="D31:K31" si="5">D4+D9+D11</f>
        <v>2907220.3546031751</v>
      </c>
      <c r="E31" s="82">
        <f t="shared" si="5"/>
        <v>3238550.6851851861</v>
      </c>
      <c r="F31" s="82">
        <f t="shared" si="5"/>
        <v>3565215.2388783079</v>
      </c>
      <c r="G31" s="82">
        <f t="shared" si="5"/>
        <v>3891424.7594825411</v>
      </c>
      <c r="H31" s="82">
        <f t="shared" si="5"/>
        <v>4220652.7632278856</v>
      </c>
      <c r="I31" s="82">
        <f t="shared" si="5"/>
        <v>4555735.7119848402</v>
      </c>
      <c r="J31" s="82">
        <f t="shared" si="5"/>
        <v>4898957.1269345824</v>
      </c>
      <c r="K31" s="82">
        <f t="shared" si="5"/>
        <v>5505580.7216877071</v>
      </c>
      <c r="L31" s="82"/>
    </row>
    <row r="32" spans="1:12" x14ac:dyDescent="0.6">
      <c r="A32" s="82" t="s">
        <v>159</v>
      </c>
      <c r="B32" s="82">
        <f>B31*B30</f>
        <v>2129200</v>
      </c>
      <c r="C32" s="82">
        <f>C31*C30</f>
        <v>2109973.0458221016</v>
      </c>
      <c r="D32" s="82">
        <f t="shared" ref="D32:K32" si="6">D31*D30</f>
        <v>2587415.7659337618</v>
      </c>
      <c r="E32" s="82">
        <f t="shared" si="6"/>
        <v>2719149.6043589548</v>
      </c>
      <c r="F32" s="82">
        <f t="shared" si="6"/>
        <v>2823984.398795133</v>
      </c>
      <c r="G32" s="82">
        <f t="shared" si="6"/>
        <v>2907898.9556166586</v>
      </c>
      <c r="H32" s="82">
        <f t="shared" si="6"/>
        <v>2975393.6529733432</v>
      </c>
      <c r="I32" s="82">
        <f t="shared" si="6"/>
        <v>3029824.4430388361</v>
      </c>
      <c r="J32" s="82">
        <f t="shared" si="6"/>
        <v>3073666.3081119675</v>
      </c>
      <c r="K32" s="82">
        <f t="shared" si="6"/>
        <v>3258744.7700074799</v>
      </c>
      <c r="L32" s="82"/>
    </row>
    <row r="33" spans="1:12" x14ac:dyDescent="0.6">
      <c r="A33" s="82" t="s">
        <v>160</v>
      </c>
      <c r="B33" s="82" t="e">
        <f>B10+#REF!+B20+B22+B24+B26+B7+B19+#REF!</f>
        <v>#REF!</v>
      </c>
      <c r="C33" s="82" t="e">
        <f>C10+#REF!+C20+C22+C24+C26+C7+C19</f>
        <v>#REF!</v>
      </c>
      <c r="D33" s="82" t="e">
        <f>D10+#REF!+D20+D22+D24+D26+D7+D19</f>
        <v>#REF!</v>
      </c>
      <c r="E33" s="82" t="e">
        <f>E10+#REF!+E20+E22+E24+E26+E7+E19</f>
        <v>#REF!</v>
      </c>
      <c r="F33" s="82" t="e">
        <f>F10+#REF!+F20+F22+F24+F26+F7+F19</f>
        <v>#REF!</v>
      </c>
      <c r="G33" s="82" t="e">
        <f>G10+#REF!+G20+G22+G24+G26+G7+G19</f>
        <v>#REF!</v>
      </c>
      <c r="H33" s="82" t="e">
        <f>H10+#REF!+H20+H22+H24+H26+H7+H19</f>
        <v>#REF!</v>
      </c>
      <c r="I33" s="82" t="e">
        <f>I10+#REF!+I20+I22+I24+I26+I7+I19</f>
        <v>#REF!</v>
      </c>
      <c r="J33" s="82" t="e">
        <f>J10+#REF!+J20+J22+J24+J26+J7+J19</f>
        <v>#REF!</v>
      </c>
      <c r="K33" s="82" t="e">
        <f>K10+#REF!+K20+K22+K24+K26+K7+K19</f>
        <v>#REF!</v>
      </c>
      <c r="L33" s="82"/>
    </row>
    <row r="34" spans="1:12" x14ac:dyDescent="0.6">
      <c r="A34" s="82" t="s">
        <v>161</v>
      </c>
      <c r="B34" s="82" t="e">
        <f>B33*B30</f>
        <v>#REF!</v>
      </c>
      <c r="C34" s="82" t="e">
        <f>C33*C30</f>
        <v>#REF!</v>
      </c>
      <c r="D34" s="82" t="e">
        <f t="shared" ref="D34:K34" si="7">D33*D30</f>
        <v>#REF!</v>
      </c>
      <c r="E34" s="82" t="e">
        <f t="shared" si="7"/>
        <v>#REF!</v>
      </c>
      <c r="F34" s="82" t="e">
        <f t="shared" si="7"/>
        <v>#REF!</v>
      </c>
      <c r="G34" s="82" t="e">
        <f t="shared" si="7"/>
        <v>#REF!</v>
      </c>
      <c r="H34" s="82" t="e">
        <f t="shared" si="7"/>
        <v>#REF!</v>
      </c>
      <c r="I34" s="82" t="e">
        <f t="shared" si="7"/>
        <v>#REF!</v>
      </c>
      <c r="J34" s="82" t="e">
        <f t="shared" si="7"/>
        <v>#REF!</v>
      </c>
      <c r="K34" s="82" t="e">
        <f t="shared" si="7"/>
        <v>#REF!</v>
      </c>
      <c r="L34" s="82"/>
    </row>
    <row r="35" spans="1:12" x14ac:dyDescent="0.6">
      <c r="A35" s="82"/>
      <c r="B35" s="82"/>
      <c r="C35" s="82"/>
      <c r="D35" s="82"/>
      <c r="E35" s="82"/>
      <c r="F35" s="82"/>
      <c r="G35" s="82"/>
      <c r="H35" s="82"/>
      <c r="I35" s="82"/>
      <c r="J35" s="82"/>
      <c r="K35" s="82"/>
      <c r="L35" s="82"/>
    </row>
    <row r="36" spans="1:12" x14ac:dyDescent="0.6">
      <c r="A36" s="82" t="s">
        <v>162</v>
      </c>
      <c r="B36" s="82" t="e">
        <f>B31-B33</f>
        <v>#REF!</v>
      </c>
      <c r="C36" s="82" t="e">
        <f>C31-C33</f>
        <v>#REF!</v>
      </c>
      <c r="D36" s="82" t="e">
        <f>D31-D33</f>
        <v>#REF!</v>
      </c>
      <c r="E36" s="82" t="e">
        <f t="shared" ref="E36:K36" si="8">E31-E33</f>
        <v>#REF!</v>
      </c>
      <c r="F36" s="82" t="e">
        <f t="shared" si="8"/>
        <v>#REF!</v>
      </c>
      <c r="G36" s="82" t="e">
        <f t="shared" si="8"/>
        <v>#REF!</v>
      </c>
      <c r="H36" s="82" t="e">
        <f t="shared" si="8"/>
        <v>#REF!</v>
      </c>
      <c r="I36" s="82" t="e">
        <f t="shared" si="8"/>
        <v>#REF!</v>
      </c>
      <c r="J36" s="82" t="e">
        <f t="shared" si="8"/>
        <v>#REF!</v>
      </c>
      <c r="K36" s="82" t="e">
        <f t="shared" si="8"/>
        <v>#REF!</v>
      </c>
      <c r="L36" s="82"/>
    </row>
    <row r="37" spans="1:12" x14ac:dyDescent="0.6">
      <c r="A37" s="82" t="s">
        <v>163</v>
      </c>
      <c r="B37" s="82" t="e">
        <f>B32-B34</f>
        <v>#REF!</v>
      </c>
      <c r="C37" s="82" t="e">
        <f>C36*C30</f>
        <v>#REF!</v>
      </c>
      <c r="D37" s="82" t="e">
        <f t="shared" ref="D37:K37" si="9">D36*D30</f>
        <v>#REF!</v>
      </c>
      <c r="E37" s="82" t="e">
        <f t="shared" si="9"/>
        <v>#REF!</v>
      </c>
      <c r="F37" s="82" t="e">
        <f t="shared" si="9"/>
        <v>#REF!</v>
      </c>
      <c r="G37" s="82" t="e">
        <f t="shared" si="9"/>
        <v>#REF!</v>
      </c>
      <c r="H37" s="82" t="e">
        <f t="shared" si="9"/>
        <v>#REF!</v>
      </c>
      <c r="I37" s="82" t="e">
        <f t="shared" si="9"/>
        <v>#REF!</v>
      </c>
      <c r="J37" s="82" t="e">
        <f t="shared" si="9"/>
        <v>#REF!</v>
      </c>
      <c r="K37" s="82" t="e">
        <f t="shared" si="9"/>
        <v>#REF!</v>
      </c>
      <c r="L37" s="82" t="e">
        <f>SUM(C37:K37)</f>
        <v>#REF!</v>
      </c>
    </row>
    <row r="38" spans="1:12" x14ac:dyDescent="0.6">
      <c r="C38" s="39"/>
      <c r="D38" s="39"/>
      <c r="E38" s="39"/>
      <c r="F38" s="39"/>
      <c r="G38" s="39"/>
    </row>
  </sheetData>
  <pageMargins left="0.7" right="0.7" top="0.75" bottom="0.75" header="0.3" footer="0.3"/>
  <pageSetup scale="60" orientation="landscape" r:id="rId1"/>
  <ignoredErrors>
    <ignoredError sqref="B33:L38"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B3"/>
  <sheetViews>
    <sheetView workbookViewId="0"/>
  </sheetViews>
  <sheetFormatPr defaultRowHeight="17" x14ac:dyDescent="0.6"/>
  <cols>
    <col min="1" max="1" width="8.7265625" style="8"/>
    <col min="2" max="2" width="84" style="8" bestFit="1" customWidth="1"/>
    <col min="3" max="3" width="12.36328125" style="8" bestFit="1" customWidth="1"/>
    <col min="4" max="12" width="12.54296875" style="8" bestFit="1" customWidth="1"/>
    <col min="13" max="16384" width="8.7265625" style="8"/>
  </cols>
  <sheetData>
    <row r="1" spans="1:2" x14ac:dyDescent="0.6">
      <c r="A1" s="7" t="s">
        <v>187</v>
      </c>
      <c r="B1" s="7" t="s">
        <v>188</v>
      </c>
    </row>
    <row r="2" spans="1:2" x14ac:dyDescent="0.6">
      <c r="A2" s="8">
        <v>1</v>
      </c>
      <c r="B2" s="8" t="s">
        <v>304</v>
      </c>
    </row>
    <row r="3" spans="1:2" x14ac:dyDescent="0.6">
      <c r="A3" s="8">
        <v>2</v>
      </c>
      <c r="B3" s="8" t="s">
        <v>305</v>
      </c>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126</v>
      </c>
    </row>
    <row r="2" spans="1:11" x14ac:dyDescent="0.35">
      <c r="C2" t="s">
        <v>37</v>
      </c>
      <c r="D2" t="s">
        <v>38</v>
      </c>
      <c r="E2" t="s">
        <v>39</v>
      </c>
      <c r="F2" t="s">
        <v>40</v>
      </c>
      <c r="G2" t="s">
        <v>41</v>
      </c>
      <c r="H2" t="s">
        <v>42</v>
      </c>
      <c r="I2" t="s">
        <v>43</v>
      </c>
      <c r="J2" t="s">
        <v>44</v>
      </c>
      <c r="K2" t="s">
        <v>45</v>
      </c>
    </row>
    <row r="3" spans="1:11" x14ac:dyDescent="0.35">
      <c r="A3" t="s">
        <v>127</v>
      </c>
      <c r="C3">
        <f>'Ann 4'!C25/300*270</f>
        <v>1999542.8571428573</v>
      </c>
      <c r="D3">
        <f>'Ann 4'!D25/300*270</f>
        <v>2382788.5714285718</v>
      </c>
      <c r="E3">
        <f>'Ann 4'!E25/300*270</f>
        <v>2566080.0000000009</v>
      </c>
      <c r="F3">
        <f>'Ann 4'!F25/300*270</f>
        <v>2749371.4285714291</v>
      </c>
      <c r="G3">
        <f>'Ann 4'!G25/300*270</f>
        <v>2932662.8571428582</v>
      </c>
      <c r="H3">
        <f>'Ann 4'!H25/300*270</f>
        <v>3115954.2857142868</v>
      </c>
      <c r="I3">
        <f>'Ann 4'!I25/300*270</f>
        <v>3299245.7142857155</v>
      </c>
      <c r="J3">
        <f>'Ann 4'!J25/300*270</f>
        <v>3482537.1428571446</v>
      </c>
      <c r="K3">
        <f>'Ann 4'!K25/300*270</f>
        <v>3665828.5714285728</v>
      </c>
    </row>
    <row r="4" spans="1:11" x14ac:dyDescent="0.35">
      <c r="A4" t="s">
        <v>128</v>
      </c>
      <c r="C4">
        <v>5000000</v>
      </c>
    </row>
    <row r="5" spans="1:11" x14ac:dyDescent="0.35">
      <c r="A5" t="s">
        <v>129</v>
      </c>
      <c r="C5">
        <v>21492978</v>
      </c>
    </row>
    <row r="7" spans="1:11" x14ac:dyDescent="0.35">
      <c r="A7" t="s">
        <v>130</v>
      </c>
      <c r="C7">
        <f>'Ann 3'!E13</f>
        <v>1879200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504E2-53BE-4BD3-8F57-FE1FA8774429}">
  <dimension ref="A1:C55"/>
  <sheetViews>
    <sheetView workbookViewId="0">
      <selection activeCell="A5" sqref="A5"/>
    </sheetView>
  </sheetViews>
  <sheetFormatPr defaultRowHeight="17" x14ac:dyDescent="0.6"/>
  <cols>
    <col min="1" max="1" width="57.1796875" style="8" bestFit="1" customWidth="1"/>
    <col min="2" max="2" width="11.6328125" style="8" bestFit="1" customWidth="1"/>
    <col min="3" max="16384" width="8.7265625" style="8"/>
  </cols>
  <sheetData>
    <row r="1" spans="1:2" x14ac:dyDescent="0.6">
      <c r="A1" s="123" t="s">
        <v>248</v>
      </c>
      <c r="B1" s="123"/>
    </row>
    <row r="2" spans="1:2" x14ac:dyDescent="0.6">
      <c r="A2" s="102"/>
      <c r="B2" s="102"/>
    </row>
    <row r="3" spans="1:2" x14ac:dyDescent="0.6">
      <c r="A3" s="113" t="s">
        <v>265</v>
      </c>
      <c r="B3" s="113"/>
    </row>
    <row r="4" spans="1:2" x14ac:dyDescent="0.6">
      <c r="A4" s="8" t="s">
        <v>233</v>
      </c>
      <c r="B4" s="8">
        <v>1</v>
      </c>
    </row>
    <row r="5" spans="1:2" x14ac:dyDescent="0.6">
      <c r="A5" s="8" t="s">
        <v>253</v>
      </c>
      <c r="B5" s="75">
        <v>1000000</v>
      </c>
    </row>
    <row r="6" spans="1:2" x14ac:dyDescent="0.6">
      <c r="A6" s="8" t="s">
        <v>234</v>
      </c>
      <c r="B6" s="8">
        <v>2</v>
      </c>
    </row>
    <row r="7" spans="1:2" x14ac:dyDescent="0.6">
      <c r="A7" s="8" t="s">
        <v>254</v>
      </c>
      <c r="B7" s="75">
        <v>30000</v>
      </c>
    </row>
    <row r="8" spans="1:2" s="31" customFormat="1" x14ac:dyDescent="0.6">
      <c r="A8" s="31" t="s">
        <v>235</v>
      </c>
      <c r="B8" s="31">
        <v>4</v>
      </c>
    </row>
    <row r="9" spans="1:2" x14ac:dyDescent="0.6">
      <c r="A9" s="8" t="s">
        <v>255</v>
      </c>
      <c r="B9" s="75">
        <v>4000</v>
      </c>
    </row>
    <row r="10" spans="1:2" x14ac:dyDescent="0.6">
      <c r="A10" s="8" t="s">
        <v>236</v>
      </c>
      <c r="B10" s="8">
        <v>4</v>
      </c>
    </row>
    <row r="11" spans="1:2" x14ac:dyDescent="0.6">
      <c r="A11" s="8" t="s">
        <v>256</v>
      </c>
      <c r="B11" s="75">
        <v>800</v>
      </c>
    </row>
    <row r="12" spans="1:2" x14ac:dyDescent="0.6">
      <c r="A12" s="8" t="s">
        <v>237</v>
      </c>
      <c r="B12" s="8">
        <v>1</v>
      </c>
    </row>
    <row r="13" spans="1:2" x14ac:dyDescent="0.6">
      <c r="A13" s="8" t="s">
        <v>238</v>
      </c>
      <c r="B13" s="8">
        <v>800000</v>
      </c>
    </row>
    <row r="14" spans="1:2" x14ac:dyDescent="0.6">
      <c r="A14" s="8" t="s">
        <v>257</v>
      </c>
      <c r="B14" s="8">
        <v>0</v>
      </c>
    </row>
    <row r="15" spans="1:2" x14ac:dyDescent="0.6">
      <c r="A15" s="8" t="s">
        <v>258</v>
      </c>
      <c r="B15" s="8">
        <v>0</v>
      </c>
    </row>
    <row r="17" spans="1:3" x14ac:dyDescent="0.6">
      <c r="A17" s="113" t="s">
        <v>266</v>
      </c>
      <c r="B17" s="113"/>
    </row>
    <row r="18" spans="1:3" x14ac:dyDescent="0.6">
      <c r="A18" s="8" t="s">
        <v>241</v>
      </c>
      <c r="B18" s="75">
        <v>20000</v>
      </c>
    </row>
    <row r="19" spans="1:3" x14ac:dyDescent="0.6">
      <c r="A19" s="8" t="s">
        <v>239</v>
      </c>
      <c r="B19" s="8">
        <v>1</v>
      </c>
    </row>
    <row r="20" spans="1:3" x14ac:dyDescent="0.6">
      <c r="A20" s="8" t="s">
        <v>251</v>
      </c>
      <c r="B20" s="75">
        <v>0</v>
      </c>
    </row>
    <row r="21" spans="1:3" x14ac:dyDescent="0.6">
      <c r="A21" s="8" t="s">
        <v>252</v>
      </c>
      <c r="B21" s="8">
        <v>1</v>
      </c>
    </row>
    <row r="22" spans="1:3" x14ac:dyDescent="0.6">
      <c r="A22" s="8" t="s">
        <v>259</v>
      </c>
      <c r="B22" s="100">
        <v>10</v>
      </c>
    </row>
    <row r="23" spans="1:3" x14ac:dyDescent="0.6">
      <c r="A23" s="8" t="s">
        <v>245</v>
      </c>
      <c r="B23" s="8">
        <v>20000</v>
      </c>
    </row>
    <row r="24" spans="1:3" x14ac:dyDescent="0.6">
      <c r="A24" s="8" t="s">
        <v>240</v>
      </c>
      <c r="B24" s="8">
        <v>1</v>
      </c>
    </row>
    <row r="25" spans="1:3" x14ac:dyDescent="0.6">
      <c r="A25" s="8" t="s">
        <v>306</v>
      </c>
      <c r="B25" s="8">
        <v>8000</v>
      </c>
    </row>
    <row r="26" spans="1:3" x14ac:dyDescent="0.6">
      <c r="A26" s="8" t="s">
        <v>267</v>
      </c>
      <c r="B26" s="8">
        <v>1</v>
      </c>
    </row>
    <row r="27" spans="1:3" x14ac:dyDescent="0.6">
      <c r="A27" s="8" t="s">
        <v>246</v>
      </c>
      <c r="B27" s="8">
        <v>6</v>
      </c>
    </row>
    <row r="28" spans="1:3" x14ac:dyDescent="0.6">
      <c r="A28" s="8" t="s">
        <v>242</v>
      </c>
      <c r="B28" s="75">
        <f>34000</f>
        <v>34000</v>
      </c>
      <c r="C28" s="39"/>
    </row>
    <row r="29" spans="1:3" x14ac:dyDescent="0.6">
      <c r="A29" s="8" t="s">
        <v>243</v>
      </c>
      <c r="B29" s="8">
        <v>0</v>
      </c>
    </row>
    <row r="30" spans="1:3" x14ac:dyDescent="0.6">
      <c r="A30" s="8" t="s">
        <v>207</v>
      </c>
      <c r="B30" s="103">
        <v>100</v>
      </c>
    </row>
    <row r="31" spans="1:3" x14ac:dyDescent="0.6">
      <c r="A31" s="8" t="s">
        <v>244</v>
      </c>
      <c r="B31" s="75">
        <v>40</v>
      </c>
    </row>
    <row r="32" spans="1:3" x14ac:dyDescent="0.6">
      <c r="A32" s="8" t="s">
        <v>269</v>
      </c>
      <c r="B32" s="75">
        <v>25000</v>
      </c>
    </row>
    <row r="34" spans="1:2" x14ac:dyDescent="0.6">
      <c r="A34" s="8" t="s">
        <v>247</v>
      </c>
      <c r="B34" s="8">
        <v>41000</v>
      </c>
    </row>
    <row r="35" spans="1:2" x14ac:dyDescent="0.6">
      <c r="A35" s="8" t="s">
        <v>273</v>
      </c>
      <c r="B35" s="75">
        <v>200000</v>
      </c>
    </row>
    <row r="36" spans="1:2" x14ac:dyDescent="0.6">
      <c r="A36" s="8" t="s">
        <v>270</v>
      </c>
      <c r="B36" s="75">
        <v>120000</v>
      </c>
    </row>
    <row r="38" spans="1:2" s="31" customFormat="1" x14ac:dyDescent="0.6">
      <c r="A38" s="31" t="s">
        <v>249</v>
      </c>
      <c r="B38" s="106">
        <v>200000</v>
      </c>
    </row>
    <row r="40" spans="1:2" x14ac:dyDescent="0.6">
      <c r="A40" s="8" t="s">
        <v>268</v>
      </c>
      <c r="B40" s="75">
        <v>450</v>
      </c>
    </row>
    <row r="41" spans="1:2" x14ac:dyDescent="0.6">
      <c r="A41" s="8" t="s">
        <v>271</v>
      </c>
      <c r="B41" s="104">
        <v>0.1</v>
      </c>
    </row>
    <row r="42" spans="1:2" x14ac:dyDescent="0.6">
      <c r="A42" s="8" t="s">
        <v>310</v>
      </c>
      <c r="B42" s="75">
        <v>120000</v>
      </c>
    </row>
    <row r="43" spans="1:2" x14ac:dyDescent="0.6">
      <c r="A43" s="8" t="s">
        <v>276</v>
      </c>
      <c r="B43" s="8">
        <v>7</v>
      </c>
    </row>
    <row r="44" spans="1:2" x14ac:dyDescent="0.6">
      <c r="A44" s="8" t="s">
        <v>274</v>
      </c>
      <c r="B44" s="8">
        <v>8</v>
      </c>
    </row>
    <row r="45" spans="1:2" x14ac:dyDescent="0.6">
      <c r="A45" s="8" t="s">
        <v>275</v>
      </c>
      <c r="B45" s="8">
        <v>120</v>
      </c>
    </row>
    <row r="46" spans="1:2" x14ac:dyDescent="0.6">
      <c r="A46" s="8" t="s">
        <v>277</v>
      </c>
      <c r="B46" s="75">
        <v>50000</v>
      </c>
    </row>
    <row r="47" spans="1:2" x14ac:dyDescent="0.6">
      <c r="A47" s="8" t="s">
        <v>307</v>
      </c>
      <c r="B47" s="112">
        <v>100000</v>
      </c>
    </row>
    <row r="49" spans="1:2" x14ac:dyDescent="0.6">
      <c r="A49" s="8" t="s">
        <v>278</v>
      </c>
      <c r="B49" s="8">
        <v>200</v>
      </c>
    </row>
    <row r="50" spans="1:2" x14ac:dyDescent="0.6">
      <c r="A50" s="8" t="s">
        <v>279</v>
      </c>
      <c r="B50" s="8">
        <v>30</v>
      </c>
    </row>
    <row r="51" spans="1:2" x14ac:dyDescent="0.6">
      <c r="A51" s="8" t="s">
        <v>280</v>
      </c>
      <c r="B51" s="8">
        <f>B50*B49</f>
        <v>6000</v>
      </c>
    </row>
    <row r="52" spans="1:2" x14ac:dyDescent="0.6">
      <c r="A52" s="8" t="s">
        <v>281</v>
      </c>
      <c r="B52" s="8">
        <f>B44*60/B50*B45</f>
        <v>1920</v>
      </c>
    </row>
    <row r="53" spans="1:2" x14ac:dyDescent="0.6">
      <c r="A53" s="8" t="s">
        <v>282</v>
      </c>
      <c r="B53" s="8">
        <v>25</v>
      </c>
    </row>
    <row r="54" spans="1:2" x14ac:dyDescent="0.6">
      <c r="A54" s="8" t="s">
        <v>283</v>
      </c>
      <c r="B54" s="8">
        <v>2</v>
      </c>
    </row>
    <row r="55" spans="1:2" x14ac:dyDescent="0.6">
      <c r="A55" s="8" t="s">
        <v>284</v>
      </c>
      <c r="B55" s="39">
        <f>(B28/B49)/B54*B53</f>
        <v>2125</v>
      </c>
    </row>
  </sheetData>
  <mergeCells count="3">
    <mergeCell ref="A1:B1"/>
    <mergeCell ref="A3:B3"/>
    <mergeCell ref="A17:B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0"/>
  <sheetViews>
    <sheetView workbookViewId="0"/>
  </sheetViews>
  <sheetFormatPr defaultRowHeight="17" x14ac:dyDescent="0.6"/>
  <cols>
    <col min="1" max="1" width="8.7265625" style="8"/>
    <col min="2" max="2" width="44.90625" style="8" customWidth="1"/>
    <col min="3" max="3" width="13.26953125" style="8" customWidth="1"/>
    <col min="4" max="16384" width="8.7265625" style="8"/>
  </cols>
  <sheetData>
    <row r="1" spans="1:3" x14ac:dyDescent="0.6">
      <c r="A1" s="7" t="s">
        <v>189</v>
      </c>
    </row>
    <row r="3" spans="1:3" x14ac:dyDescent="0.6">
      <c r="A3" s="7" t="s">
        <v>0</v>
      </c>
    </row>
    <row r="5" spans="1:3" x14ac:dyDescent="0.6">
      <c r="A5" s="25" t="s">
        <v>1</v>
      </c>
      <c r="B5" s="26"/>
      <c r="C5" s="27"/>
    </row>
    <row r="6" spans="1:3" ht="34" x14ac:dyDescent="0.6">
      <c r="A6" s="28" t="s">
        <v>2</v>
      </c>
      <c r="B6" s="28" t="s">
        <v>3</v>
      </c>
      <c r="C6" s="29" t="s">
        <v>4</v>
      </c>
    </row>
    <row r="7" spans="1:3" x14ac:dyDescent="0.6">
      <c r="A7" s="13">
        <v>1</v>
      </c>
      <c r="B7" s="14" t="s">
        <v>6</v>
      </c>
      <c r="C7" s="15"/>
    </row>
    <row r="8" spans="1:3" x14ac:dyDescent="0.6">
      <c r="A8" s="13" t="s">
        <v>5</v>
      </c>
      <c r="B8" s="14" t="s">
        <v>7</v>
      </c>
      <c r="C8" s="16">
        <v>0</v>
      </c>
    </row>
    <row r="9" spans="1:3" x14ac:dyDescent="0.6">
      <c r="A9" s="13"/>
      <c r="B9" s="14" t="s">
        <v>8</v>
      </c>
      <c r="C9" s="16">
        <f>SUM(C8)</f>
        <v>0</v>
      </c>
    </row>
    <row r="10" spans="1:3" x14ac:dyDescent="0.6">
      <c r="A10" s="13"/>
      <c r="B10" s="14"/>
      <c r="C10" s="15"/>
    </row>
    <row r="11" spans="1:3" x14ac:dyDescent="0.6">
      <c r="A11" s="13">
        <v>2</v>
      </c>
      <c r="B11" s="14" t="s">
        <v>146</v>
      </c>
      <c r="C11" s="16">
        <v>0</v>
      </c>
    </row>
    <row r="12" spans="1:3" x14ac:dyDescent="0.6">
      <c r="A12" s="13" t="s">
        <v>5</v>
      </c>
      <c r="B12" s="14" t="s">
        <v>8</v>
      </c>
      <c r="C12" s="16">
        <f>C11</f>
        <v>0</v>
      </c>
    </row>
    <row r="13" spans="1:3" x14ac:dyDescent="0.6">
      <c r="A13" s="13"/>
      <c r="B13" s="14"/>
      <c r="C13" s="15"/>
    </row>
    <row r="14" spans="1:3" x14ac:dyDescent="0.6">
      <c r="A14" s="13">
        <v>3</v>
      </c>
      <c r="B14" s="14" t="s">
        <v>9</v>
      </c>
      <c r="C14" s="15"/>
    </row>
    <row r="15" spans="1:3" x14ac:dyDescent="0.6">
      <c r="A15" s="13" t="s">
        <v>5</v>
      </c>
      <c r="B15" s="14" t="s">
        <v>9</v>
      </c>
      <c r="C15" s="17">
        <v>0</v>
      </c>
    </row>
    <row r="16" spans="1:3" x14ac:dyDescent="0.6">
      <c r="A16" s="13"/>
      <c r="B16" s="14" t="s">
        <v>8</v>
      </c>
      <c r="C16" s="17">
        <f>C15</f>
        <v>0</v>
      </c>
    </row>
    <row r="17" spans="1:4" x14ac:dyDescent="0.6">
      <c r="A17" s="13"/>
      <c r="B17" s="14"/>
      <c r="C17" s="15"/>
    </row>
    <row r="18" spans="1:4" x14ac:dyDescent="0.6">
      <c r="A18" s="13">
        <v>4</v>
      </c>
      <c r="B18" s="14" t="s">
        <v>10</v>
      </c>
      <c r="C18" s="15"/>
    </row>
    <row r="19" spans="1:4" x14ac:dyDescent="0.6">
      <c r="A19" s="13" t="s">
        <v>5</v>
      </c>
      <c r="B19" s="14" t="s">
        <v>11</v>
      </c>
      <c r="C19" s="17">
        <f>'Ann 3'!E13/100000</f>
        <v>18.792000000000002</v>
      </c>
    </row>
    <row r="20" spans="1:4" x14ac:dyDescent="0.6">
      <c r="A20" s="13"/>
      <c r="B20" s="14" t="s">
        <v>8</v>
      </c>
      <c r="C20" s="18">
        <f>C19</f>
        <v>18.792000000000002</v>
      </c>
    </row>
    <row r="21" spans="1:4" x14ac:dyDescent="0.6">
      <c r="A21" s="13"/>
      <c r="B21" s="14"/>
      <c r="C21" s="15"/>
    </row>
    <row r="22" spans="1:4" x14ac:dyDescent="0.6">
      <c r="A22" s="13">
        <v>5</v>
      </c>
      <c r="B22" s="14" t="s">
        <v>12</v>
      </c>
      <c r="C22" s="15"/>
    </row>
    <row r="23" spans="1:4" x14ac:dyDescent="0.6">
      <c r="A23" s="13" t="s">
        <v>5</v>
      </c>
      <c r="B23" s="14" t="s">
        <v>13</v>
      </c>
      <c r="C23" s="16">
        <v>0</v>
      </c>
    </row>
    <row r="24" spans="1:4" x14ac:dyDescent="0.6">
      <c r="A24" s="13"/>
      <c r="B24" s="14"/>
      <c r="C24" s="16"/>
    </row>
    <row r="25" spans="1:4" x14ac:dyDescent="0.6">
      <c r="A25" s="13">
        <v>6</v>
      </c>
      <c r="B25" s="14" t="s">
        <v>14</v>
      </c>
      <c r="C25" s="16">
        <f>Input!B38/100000</f>
        <v>2</v>
      </c>
      <c r="D25" s="86"/>
    </row>
    <row r="26" spans="1:4" x14ac:dyDescent="0.6">
      <c r="A26" s="13"/>
      <c r="B26" s="14"/>
      <c r="C26" s="16"/>
    </row>
    <row r="27" spans="1:4" x14ac:dyDescent="0.6">
      <c r="A27" s="13">
        <v>7</v>
      </c>
      <c r="B27" s="14" t="s">
        <v>15</v>
      </c>
      <c r="C27" s="16">
        <v>0</v>
      </c>
    </row>
    <row r="28" spans="1:4" x14ac:dyDescent="0.6">
      <c r="A28" s="13" t="s">
        <v>5</v>
      </c>
      <c r="B28" s="14" t="s">
        <v>16</v>
      </c>
      <c r="C28" s="16">
        <v>0</v>
      </c>
    </row>
    <row r="29" spans="1:4" x14ac:dyDescent="0.6">
      <c r="A29" s="13"/>
      <c r="B29" s="14" t="s">
        <v>8</v>
      </c>
      <c r="C29" s="16"/>
    </row>
    <row r="30" spans="1:4" x14ac:dyDescent="0.6">
      <c r="A30" s="13"/>
      <c r="B30" s="14"/>
      <c r="C30" s="16"/>
    </row>
    <row r="31" spans="1:4" x14ac:dyDescent="0.6">
      <c r="A31" s="13">
        <v>8</v>
      </c>
      <c r="B31" s="14" t="s">
        <v>17</v>
      </c>
      <c r="C31" s="15"/>
    </row>
    <row r="32" spans="1:4" ht="34" x14ac:dyDescent="0.6">
      <c r="A32" s="13"/>
      <c r="B32" s="19" t="s">
        <v>250</v>
      </c>
      <c r="C32" s="15"/>
    </row>
    <row r="33" spans="1:3" x14ac:dyDescent="0.6">
      <c r="A33" s="13" t="s">
        <v>5</v>
      </c>
      <c r="B33" s="14" t="s">
        <v>18</v>
      </c>
      <c r="C33" s="16"/>
    </row>
    <row r="34" spans="1:3" x14ac:dyDescent="0.6">
      <c r="A34" s="13" t="s">
        <v>19</v>
      </c>
      <c r="B34" s="14" t="s">
        <v>20</v>
      </c>
      <c r="C34" s="16">
        <f>Input!B46/100000</f>
        <v>0.5</v>
      </c>
    </row>
    <row r="35" spans="1:3" x14ac:dyDescent="0.6">
      <c r="A35" s="13"/>
      <c r="B35" s="14" t="s">
        <v>8</v>
      </c>
      <c r="C35" s="16">
        <f>SUM(C33:C34)</f>
        <v>0.5</v>
      </c>
    </row>
    <row r="36" spans="1:3" x14ac:dyDescent="0.6">
      <c r="A36" s="13"/>
      <c r="B36" s="14"/>
      <c r="C36" s="16"/>
    </row>
    <row r="37" spans="1:3" x14ac:dyDescent="0.6">
      <c r="A37" s="21"/>
      <c r="B37" s="22" t="s">
        <v>21</v>
      </c>
      <c r="C37" s="23">
        <f>C35+C27+C25+C20+C16+C23+C12+C9</f>
        <v>21.292000000000002</v>
      </c>
    </row>
    <row r="38" spans="1:3" x14ac:dyDescent="0.6">
      <c r="A38" s="24"/>
    </row>
    <row r="39" spans="1:3" x14ac:dyDescent="0.6">
      <c r="A39" s="24"/>
    </row>
    <row r="40" spans="1:3" x14ac:dyDescent="0.6">
      <c r="A40" s="24"/>
    </row>
  </sheetData>
  <pageMargins left="0.7" right="0.7" top="0.75" bottom="0.75" header="0.3" footer="0.3"/>
  <pageSetup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heetViews>
  <sheetFormatPr defaultRowHeight="17" x14ac:dyDescent="0.6"/>
  <cols>
    <col min="1" max="1" width="8.7265625" style="8"/>
    <col min="2" max="2" width="22.08984375" style="8" customWidth="1"/>
    <col min="3" max="3" width="18.81640625" style="8" bestFit="1" customWidth="1"/>
    <col min="4" max="16384" width="8.7265625" style="8"/>
  </cols>
  <sheetData>
    <row r="1" spans="1:4" x14ac:dyDescent="0.6">
      <c r="A1" s="7" t="s">
        <v>22</v>
      </c>
    </row>
    <row r="3" spans="1:4" s="7" customFormat="1" x14ac:dyDescent="0.6">
      <c r="A3" s="40" t="s">
        <v>23</v>
      </c>
      <c r="B3" s="41" t="s">
        <v>24</v>
      </c>
      <c r="C3" s="42" t="s">
        <v>4</v>
      </c>
    </row>
    <row r="4" spans="1:4" x14ac:dyDescent="0.6">
      <c r="A4" s="30">
        <v>1</v>
      </c>
      <c r="B4" s="8" t="s">
        <v>25</v>
      </c>
      <c r="C4" s="18">
        <f>C8*10%</f>
        <v>2.1292000000000004</v>
      </c>
      <c r="D4" s="32"/>
    </row>
    <row r="5" spans="1:4" x14ac:dyDescent="0.6">
      <c r="A5" s="30">
        <v>2</v>
      </c>
      <c r="B5" s="8" t="s">
        <v>26</v>
      </c>
      <c r="C5" s="18">
        <v>0</v>
      </c>
      <c r="D5" s="32"/>
    </row>
    <row r="6" spans="1:4" x14ac:dyDescent="0.6">
      <c r="A6" s="30">
        <v>3</v>
      </c>
      <c r="B6" s="8" t="s">
        <v>27</v>
      </c>
      <c r="C6" s="16">
        <f>C8-C4-C7</f>
        <v>17.162800000000001</v>
      </c>
      <c r="D6" s="32"/>
    </row>
    <row r="7" spans="1:4" x14ac:dyDescent="0.6">
      <c r="A7" s="30">
        <v>4</v>
      </c>
      <c r="B7" s="8" t="s">
        <v>28</v>
      </c>
      <c r="C7" s="16">
        <f>'Ann 1'!C25</f>
        <v>2</v>
      </c>
      <c r="D7" s="32"/>
    </row>
    <row r="8" spans="1:4" s="7" customFormat="1" x14ac:dyDescent="0.6">
      <c r="A8" s="36"/>
      <c r="B8" s="37" t="s">
        <v>8</v>
      </c>
      <c r="C8" s="87">
        <f>'Ann 1'!C37</f>
        <v>21.292000000000002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E15"/>
  <sheetViews>
    <sheetView workbookViewId="0">
      <selection activeCell="A7" sqref="A7"/>
    </sheetView>
  </sheetViews>
  <sheetFormatPr defaultRowHeight="17" x14ac:dyDescent="0.6"/>
  <cols>
    <col min="1" max="1" width="2.81640625" style="8" bestFit="1" customWidth="1"/>
    <col min="2" max="2" width="49.36328125" style="8" customWidth="1"/>
    <col min="3" max="3" width="8.7265625" style="8"/>
    <col min="4" max="4" width="10.26953125" style="8" bestFit="1" customWidth="1"/>
    <col min="5" max="5" width="12.1796875" style="8" bestFit="1" customWidth="1"/>
    <col min="6" max="6" width="8.7265625" style="8"/>
    <col min="7" max="7" width="9.1796875" style="8" bestFit="1" customWidth="1"/>
    <col min="8" max="16384" width="8.7265625" style="8"/>
  </cols>
  <sheetData>
    <row r="1" spans="1:5" x14ac:dyDescent="0.6">
      <c r="A1" s="7" t="s">
        <v>29</v>
      </c>
    </row>
    <row r="3" spans="1:5" x14ac:dyDescent="0.6">
      <c r="A3" s="40" t="s">
        <v>228</v>
      </c>
      <c r="B3" s="41"/>
      <c r="C3" s="41" t="s">
        <v>30</v>
      </c>
      <c r="D3" s="41" t="s">
        <v>231</v>
      </c>
      <c r="E3" s="42" t="s">
        <v>31</v>
      </c>
    </row>
    <row r="4" spans="1:5" x14ac:dyDescent="0.6">
      <c r="A4" s="34">
        <v>1</v>
      </c>
      <c r="B4" s="35" t="s">
        <v>224</v>
      </c>
      <c r="C4" s="97">
        <f>Input!B4</f>
        <v>1</v>
      </c>
      <c r="D4" s="98">
        <f>Input!B5</f>
        <v>1000000</v>
      </c>
      <c r="E4" s="88">
        <f t="shared" ref="E4:E9" si="0">D4*C4</f>
        <v>1000000</v>
      </c>
    </row>
    <row r="5" spans="1:5" x14ac:dyDescent="0.6">
      <c r="A5" s="30">
        <v>2</v>
      </c>
      <c r="B5" s="35" t="s">
        <v>225</v>
      </c>
      <c r="C5" s="98">
        <v>2</v>
      </c>
      <c r="D5" s="98">
        <f>Input!B7</f>
        <v>30000</v>
      </c>
      <c r="E5" s="89">
        <f t="shared" si="0"/>
        <v>60000</v>
      </c>
    </row>
    <row r="6" spans="1:5" x14ac:dyDescent="0.6">
      <c r="A6" s="30">
        <v>3</v>
      </c>
      <c r="B6" s="35" t="s">
        <v>226</v>
      </c>
      <c r="C6" s="98">
        <f>Input!B8</f>
        <v>4</v>
      </c>
      <c r="D6" s="98">
        <f>Input!B9</f>
        <v>4000</v>
      </c>
      <c r="E6" s="89">
        <f t="shared" si="0"/>
        <v>16000</v>
      </c>
    </row>
    <row r="7" spans="1:5" x14ac:dyDescent="0.6">
      <c r="A7" s="30">
        <v>4</v>
      </c>
      <c r="B7" s="35" t="s">
        <v>227</v>
      </c>
      <c r="C7" s="96">
        <f>Input!B10</f>
        <v>4</v>
      </c>
      <c r="D7" s="98">
        <f>Input!B11</f>
        <v>800</v>
      </c>
      <c r="E7" s="89">
        <f t="shared" si="0"/>
        <v>3200</v>
      </c>
    </row>
    <row r="8" spans="1:5" x14ac:dyDescent="0.6">
      <c r="A8" s="30">
        <v>5</v>
      </c>
      <c r="B8" s="35" t="s">
        <v>230</v>
      </c>
      <c r="C8" s="96">
        <f>Input!B12</f>
        <v>1</v>
      </c>
      <c r="D8" s="98">
        <f>Input!B13</f>
        <v>800000</v>
      </c>
      <c r="E8" s="89">
        <f t="shared" si="0"/>
        <v>800000</v>
      </c>
    </row>
    <row r="9" spans="1:5" x14ac:dyDescent="0.6">
      <c r="A9" s="30">
        <v>6</v>
      </c>
      <c r="B9" s="35" t="s">
        <v>232</v>
      </c>
      <c r="C9" s="96">
        <f>Input!B14</f>
        <v>0</v>
      </c>
      <c r="D9" s="95">
        <f>Input!B15</f>
        <v>0</v>
      </c>
      <c r="E9" s="89">
        <f t="shared" si="0"/>
        <v>0</v>
      </c>
    </row>
    <row r="10" spans="1:5" x14ac:dyDescent="0.6">
      <c r="A10" s="30">
        <v>7</v>
      </c>
      <c r="B10" s="35" t="s">
        <v>294</v>
      </c>
      <c r="C10" s="96">
        <v>0</v>
      </c>
      <c r="D10" s="95">
        <v>0</v>
      </c>
      <c r="E10" s="89">
        <f>Input!B20*Input!B21</f>
        <v>0</v>
      </c>
    </row>
    <row r="11" spans="1:5" s="7" customFormat="1" x14ac:dyDescent="0.6">
      <c r="A11" s="36" t="s">
        <v>32</v>
      </c>
      <c r="B11" s="37"/>
      <c r="C11" s="37"/>
      <c r="D11" s="37"/>
      <c r="E11" s="38">
        <f>SUM(E4:E10)</f>
        <v>1879200</v>
      </c>
    </row>
    <row r="12" spans="1:5" x14ac:dyDescent="0.6">
      <c r="A12" s="30"/>
      <c r="B12" s="31"/>
      <c r="C12" s="31"/>
      <c r="D12" s="31"/>
      <c r="E12" s="15"/>
    </row>
    <row r="13" spans="1:5" s="7" customFormat="1" x14ac:dyDescent="0.6">
      <c r="A13" s="36" t="s">
        <v>33</v>
      </c>
      <c r="B13" s="37"/>
      <c r="C13" s="37"/>
      <c r="D13" s="37"/>
      <c r="E13" s="38">
        <f>E11</f>
        <v>1879200</v>
      </c>
    </row>
    <row r="14" spans="1:5" x14ac:dyDescent="0.6">
      <c r="E14" s="20"/>
    </row>
    <row r="15" spans="1:5" x14ac:dyDescent="0.6">
      <c r="E15" s="39"/>
    </row>
  </sheetData>
  <pageMargins left="0.7" right="0.7" top="0.75" bottom="0.75" header="0.3" footer="0.3"/>
  <pageSetup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2"/>
  <sheetViews>
    <sheetView workbookViewId="0">
      <selection activeCell="A5" sqref="A5"/>
    </sheetView>
  </sheetViews>
  <sheetFormatPr defaultRowHeight="17" x14ac:dyDescent="0.6"/>
  <cols>
    <col min="1" max="1" width="6.26953125" style="8" customWidth="1"/>
    <col min="2" max="2" width="55.7265625" style="8" bestFit="1" customWidth="1"/>
    <col min="3" max="11" width="15.6328125" style="8" bestFit="1" customWidth="1"/>
    <col min="12" max="16384" width="8.7265625" style="8"/>
  </cols>
  <sheetData>
    <row r="1" spans="1:11" x14ac:dyDescent="0.6">
      <c r="A1" s="7" t="s">
        <v>34</v>
      </c>
    </row>
    <row r="3" spans="1:11" x14ac:dyDescent="0.6">
      <c r="A3" s="115" t="s">
        <v>35</v>
      </c>
      <c r="B3" s="115" t="s">
        <v>36</v>
      </c>
      <c r="C3" s="114" t="s">
        <v>46</v>
      </c>
      <c r="D3" s="114"/>
      <c r="E3" s="114"/>
      <c r="F3" s="114"/>
      <c r="G3" s="114"/>
      <c r="H3" s="114"/>
      <c r="I3" s="114"/>
      <c r="J3" s="114"/>
      <c r="K3" s="114"/>
    </row>
    <row r="4" spans="1:11" x14ac:dyDescent="0.6">
      <c r="A4" s="116"/>
      <c r="B4" s="116"/>
      <c r="C4" s="99">
        <v>1</v>
      </c>
      <c r="D4" s="99">
        <v>2</v>
      </c>
      <c r="E4" s="99">
        <v>3</v>
      </c>
      <c r="F4" s="99">
        <v>4</v>
      </c>
      <c r="G4" s="99">
        <v>5</v>
      </c>
      <c r="H4" s="99">
        <v>6</v>
      </c>
      <c r="I4" s="99">
        <v>7</v>
      </c>
      <c r="J4" s="99">
        <v>8</v>
      </c>
      <c r="K4" s="99">
        <v>9</v>
      </c>
    </row>
    <row r="5" spans="1:11" x14ac:dyDescent="0.6">
      <c r="A5" s="9"/>
      <c r="B5" s="9" t="s">
        <v>272</v>
      </c>
      <c r="C5" s="105">
        <v>0.6</v>
      </c>
      <c r="D5" s="105">
        <f>C5+5%</f>
        <v>0.65</v>
      </c>
      <c r="E5" s="105">
        <f t="shared" ref="E5:K5" si="0">D5+5%</f>
        <v>0.70000000000000007</v>
      </c>
      <c r="F5" s="105">
        <f t="shared" si="0"/>
        <v>0.75000000000000011</v>
      </c>
      <c r="G5" s="105">
        <f t="shared" si="0"/>
        <v>0.80000000000000016</v>
      </c>
      <c r="H5" s="105">
        <f t="shared" si="0"/>
        <v>0.8500000000000002</v>
      </c>
      <c r="I5" s="105">
        <f t="shared" si="0"/>
        <v>0.90000000000000024</v>
      </c>
      <c r="J5" s="105">
        <f t="shared" si="0"/>
        <v>0.95000000000000029</v>
      </c>
      <c r="K5" s="105">
        <f t="shared" si="0"/>
        <v>1.0000000000000002</v>
      </c>
    </row>
    <row r="6" spans="1:11" x14ac:dyDescent="0.6">
      <c r="A6" s="9"/>
      <c r="B6" s="9" t="s">
        <v>47</v>
      </c>
      <c r="C6" s="9">
        <v>12</v>
      </c>
      <c r="D6" s="9">
        <v>12</v>
      </c>
      <c r="E6" s="9">
        <v>12</v>
      </c>
      <c r="F6" s="9">
        <v>12</v>
      </c>
      <c r="G6" s="9">
        <v>12</v>
      </c>
      <c r="H6" s="9">
        <v>12</v>
      </c>
      <c r="I6" s="9">
        <v>12</v>
      </c>
      <c r="J6" s="9">
        <v>12</v>
      </c>
      <c r="K6" s="9">
        <v>12</v>
      </c>
    </row>
    <row r="7" spans="1:11" x14ac:dyDescent="0.6">
      <c r="A7" s="9"/>
      <c r="B7" s="9"/>
      <c r="C7" s="9"/>
      <c r="D7" s="9"/>
      <c r="E7" s="9"/>
      <c r="F7" s="9"/>
      <c r="G7" s="9"/>
      <c r="H7" s="9"/>
      <c r="I7" s="9"/>
      <c r="J7" s="9"/>
      <c r="K7" s="9"/>
    </row>
    <row r="8" spans="1:11" x14ac:dyDescent="0.6">
      <c r="A8" s="9"/>
      <c r="B8" s="107" t="s">
        <v>74</v>
      </c>
      <c r="C8" s="9"/>
      <c r="D8" s="9"/>
      <c r="E8" s="9"/>
      <c r="F8" s="9"/>
      <c r="G8" s="9"/>
      <c r="H8" s="9"/>
      <c r="I8" s="9"/>
      <c r="J8" s="9"/>
      <c r="K8" s="9"/>
    </row>
    <row r="9" spans="1:11" x14ac:dyDescent="0.6">
      <c r="A9" s="9">
        <v>1</v>
      </c>
      <c r="B9" s="9" t="s">
        <v>229</v>
      </c>
      <c r="C9" s="43">
        <f>IF(C4&lt;Input!$B$22,Input!$B$20*Input!$B$21/Input!$B$22,0)</f>
        <v>0</v>
      </c>
      <c r="D9" s="43">
        <f>IF(D4&lt;Input!$B$22,Input!$B$20*Input!$B$21/Input!$B$22,0)</f>
        <v>0</v>
      </c>
      <c r="E9" s="43">
        <f>IF(E4&lt;Input!$B$22,Input!$B$20*Input!$B$21/Input!$B$22,0)</f>
        <v>0</v>
      </c>
      <c r="F9" s="43">
        <f>IF(F4&lt;Input!$B$22,Input!$B$20*Input!$B$21/Input!$B$22,0)</f>
        <v>0</v>
      </c>
      <c r="G9" s="43">
        <f>IF(G4&lt;=Input!$B$22,Input!$B$20*Input!$B$21/Input!$B$22,0)</f>
        <v>0</v>
      </c>
      <c r="H9" s="43">
        <f>IF(H4&lt;=Input!$B$22,Input!$B$20*Input!$B$21/Input!$B$22,0)</f>
        <v>0</v>
      </c>
      <c r="I9" s="43">
        <f>IF(I4&lt;=Input!$B$22,Input!$B$20*Input!$B$21/Input!$B$22,0)</f>
        <v>0</v>
      </c>
      <c r="J9" s="43">
        <f>IF(J4&lt;=Input!$B$22,Input!$B$20*Input!$B$21/Input!$B$22,0)</f>
        <v>0</v>
      </c>
      <c r="K9" s="43">
        <f>IF(K4&lt;=Input!$B$22,Input!$B$20*Input!$B$21/Input!$B$22,0)</f>
        <v>0</v>
      </c>
    </row>
    <row r="10" spans="1:11" x14ac:dyDescent="0.6">
      <c r="A10" s="9">
        <v>2</v>
      </c>
      <c r="B10" s="9" t="s">
        <v>261</v>
      </c>
      <c r="C10" s="43">
        <f>Input!B34</f>
        <v>41000</v>
      </c>
      <c r="D10" s="43">
        <f>C10*1.05</f>
        <v>43050</v>
      </c>
      <c r="E10" s="43">
        <f t="shared" ref="E10:K10" si="1">D10*1.05</f>
        <v>45202.5</v>
      </c>
      <c r="F10" s="43">
        <f t="shared" si="1"/>
        <v>47462.625</v>
      </c>
      <c r="G10" s="43">
        <f t="shared" si="1"/>
        <v>49835.756249999999</v>
      </c>
      <c r="H10" s="43">
        <f t="shared" si="1"/>
        <v>52327.544062499997</v>
      </c>
      <c r="I10" s="43">
        <f t="shared" si="1"/>
        <v>54943.921265625002</v>
      </c>
      <c r="J10" s="43">
        <f t="shared" si="1"/>
        <v>57691.117328906257</v>
      </c>
      <c r="K10" s="43">
        <f t="shared" si="1"/>
        <v>60575.67319535157</v>
      </c>
    </row>
    <row r="11" spans="1:11" x14ac:dyDescent="0.6">
      <c r="A11" s="9">
        <v>3</v>
      </c>
      <c r="B11" s="9" t="s">
        <v>260</v>
      </c>
      <c r="C11" s="43">
        <f>Input!$B$35+Input!$B$36</f>
        <v>320000</v>
      </c>
      <c r="D11" s="43">
        <f>Input!$B$35+Input!$B$36</f>
        <v>320000</v>
      </c>
      <c r="E11" s="43">
        <f>Input!$B$35+Input!$B$36</f>
        <v>320000</v>
      </c>
      <c r="F11" s="43">
        <f>Input!$B$35+Input!$B$36</f>
        <v>320000</v>
      </c>
      <c r="G11" s="43">
        <f>Input!$B$35+Input!$B$36</f>
        <v>320000</v>
      </c>
      <c r="H11" s="43">
        <f>Input!$B$35+Input!$B$36</f>
        <v>320000</v>
      </c>
      <c r="I11" s="43">
        <f>Input!$B$35+Input!$B$36</f>
        <v>320000</v>
      </c>
      <c r="J11" s="43">
        <f>Input!$B$35+Input!$B$36</f>
        <v>320000</v>
      </c>
      <c r="K11" s="43">
        <f>Input!$B$35+Input!$B$36</f>
        <v>320000</v>
      </c>
    </row>
    <row r="12" spans="1:11" x14ac:dyDescent="0.6">
      <c r="A12" s="9">
        <v>4</v>
      </c>
      <c r="B12" s="9" t="s">
        <v>292</v>
      </c>
      <c r="C12" s="43">
        <f>Input!B28*Input!B27</f>
        <v>204000</v>
      </c>
      <c r="D12" s="43">
        <f>C12*1.1</f>
        <v>224400.00000000003</v>
      </c>
      <c r="E12" s="43">
        <f t="shared" ref="E12:K12" si="2">D12*1.1</f>
        <v>246840.00000000006</v>
      </c>
      <c r="F12" s="43">
        <f t="shared" si="2"/>
        <v>271524.00000000006</v>
      </c>
      <c r="G12" s="43">
        <f t="shared" si="2"/>
        <v>298676.40000000008</v>
      </c>
      <c r="H12" s="43">
        <f t="shared" si="2"/>
        <v>328544.0400000001</v>
      </c>
      <c r="I12" s="43">
        <f t="shared" si="2"/>
        <v>361398.44400000013</v>
      </c>
      <c r="J12" s="43">
        <f t="shared" si="2"/>
        <v>397538.28840000019</v>
      </c>
      <c r="K12" s="43">
        <f t="shared" si="2"/>
        <v>437292.11724000023</v>
      </c>
    </row>
    <row r="13" spans="1:11" x14ac:dyDescent="0.6">
      <c r="A13" s="9"/>
      <c r="B13" s="9" t="s">
        <v>147</v>
      </c>
      <c r="C13" s="43">
        <f>SUM(C9:C12)</f>
        <v>565000</v>
      </c>
      <c r="D13" s="43">
        <f>SUM(D9:D12)</f>
        <v>587450</v>
      </c>
      <c r="E13" s="43">
        <f t="shared" ref="E13:K13" si="3">SUM(E9:E12)</f>
        <v>612042.5</v>
      </c>
      <c r="F13" s="43">
        <f t="shared" si="3"/>
        <v>638986.625</v>
      </c>
      <c r="G13" s="43">
        <f t="shared" si="3"/>
        <v>668512.15625</v>
      </c>
      <c r="H13" s="43">
        <f t="shared" si="3"/>
        <v>700871.58406250016</v>
      </c>
      <c r="I13" s="43">
        <f t="shared" si="3"/>
        <v>736342.36526562506</v>
      </c>
      <c r="J13" s="43">
        <f t="shared" si="3"/>
        <v>775229.40572890639</v>
      </c>
      <c r="K13" s="43">
        <f t="shared" si="3"/>
        <v>817867.79043535178</v>
      </c>
    </row>
    <row r="14" spans="1:11" x14ac:dyDescent="0.6">
      <c r="A14" s="9"/>
      <c r="B14" s="9"/>
      <c r="C14" s="43"/>
      <c r="D14" s="43"/>
      <c r="E14" s="43"/>
      <c r="F14" s="43"/>
      <c r="G14" s="43"/>
      <c r="H14" s="43"/>
      <c r="I14" s="43"/>
      <c r="J14" s="43"/>
      <c r="K14" s="43"/>
    </row>
    <row r="15" spans="1:11" x14ac:dyDescent="0.6">
      <c r="A15" s="9"/>
      <c r="B15" s="107" t="s">
        <v>291</v>
      </c>
      <c r="C15" s="43"/>
      <c r="D15" s="43"/>
      <c r="E15" s="43"/>
      <c r="F15" s="43"/>
      <c r="G15" s="43"/>
      <c r="H15" s="43"/>
      <c r="I15" s="43"/>
      <c r="J15" s="43"/>
      <c r="K15" s="43"/>
    </row>
    <row r="16" spans="1:11" x14ac:dyDescent="0.6">
      <c r="A16" s="9">
        <v>1</v>
      </c>
      <c r="B16" s="101" t="s">
        <v>262</v>
      </c>
      <c r="C16" s="43">
        <f>Input!$B$18*Input!$B$19*6</f>
        <v>120000</v>
      </c>
      <c r="D16" s="43">
        <f>Input!$B$18*Input!$B$19*6</f>
        <v>120000</v>
      </c>
      <c r="E16" s="43">
        <f>Input!$B$18*Input!$B$19*6</f>
        <v>120000</v>
      </c>
      <c r="F16" s="43">
        <f>Input!$B$18*Input!$B$19*6</f>
        <v>120000</v>
      </c>
      <c r="G16" s="43">
        <f>Input!$B$18*Input!$B$19*6</f>
        <v>120000</v>
      </c>
      <c r="H16" s="43">
        <f>Input!$B$18*Input!$B$19*6</f>
        <v>120000</v>
      </c>
      <c r="I16" s="43">
        <f>Input!$B$18*Input!$B$19*6</f>
        <v>120000</v>
      </c>
      <c r="J16" s="43">
        <f>Input!$B$18*Input!$B$19*6</f>
        <v>120000</v>
      </c>
      <c r="K16" s="43">
        <f>Input!$B$18*Input!$B$19*6</f>
        <v>120000</v>
      </c>
    </row>
    <row r="17" spans="1:11" x14ac:dyDescent="0.6">
      <c r="A17" s="9">
        <v>2</v>
      </c>
      <c r="B17" s="101" t="s">
        <v>263</v>
      </c>
      <c r="C17" s="43">
        <f>Input!$B$24*Input!$B$23*6</f>
        <v>120000</v>
      </c>
      <c r="D17" s="43">
        <f>Input!$B$24*Input!$B$23*6</f>
        <v>120000</v>
      </c>
      <c r="E17" s="43">
        <f>Input!$B$24*Input!$B$23*6</f>
        <v>120000</v>
      </c>
      <c r="F17" s="43">
        <f>Input!$B$24*Input!$B$23*6</f>
        <v>120000</v>
      </c>
      <c r="G17" s="43">
        <f>Input!$B$24*Input!$B$23*6</f>
        <v>120000</v>
      </c>
      <c r="H17" s="43">
        <f>Input!$B$24*Input!$B$23*6</f>
        <v>120000</v>
      </c>
      <c r="I17" s="43">
        <f>Input!$B$24*Input!$B$23*6</f>
        <v>120000</v>
      </c>
      <c r="J17" s="43">
        <f>Input!$B$24*Input!$B$23*6</f>
        <v>120000</v>
      </c>
      <c r="K17" s="43">
        <f>Input!$B$24*Input!$B$23*6</f>
        <v>120000</v>
      </c>
    </row>
    <row r="18" spans="1:11" x14ac:dyDescent="0.6">
      <c r="A18" s="9">
        <v>3</v>
      </c>
      <c r="B18" s="101" t="s">
        <v>264</v>
      </c>
      <c r="C18" s="43">
        <f>Input!$B$26*Input!$B$25*6</f>
        <v>48000</v>
      </c>
      <c r="D18" s="43">
        <f>Input!$B$26*Input!$B$25*6</f>
        <v>48000</v>
      </c>
      <c r="E18" s="43">
        <f>Input!$B$26*Input!$B$25*6</f>
        <v>48000</v>
      </c>
      <c r="F18" s="43">
        <f>Input!$B$26*Input!$B$25*6</f>
        <v>48000</v>
      </c>
      <c r="G18" s="43">
        <f>Input!$B$26*Input!$B$25*6</f>
        <v>48000</v>
      </c>
      <c r="H18" s="43">
        <f>Input!$B$26*Input!$B$25*6</f>
        <v>48000</v>
      </c>
      <c r="I18" s="43">
        <f>Input!$B$26*Input!$B$25*6</f>
        <v>48000</v>
      </c>
      <c r="J18" s="43">
        <f>Input!$B$26*Input!$B$25*6</f>
        <v>48000</v>
      </c>
      <c r="K18" s="43">
        <f>Input!$B$26*Input!$B$25*6</f>
        <v>48000</v>
      </c>
    </row>
    <row r="19" spans="1:11" x14ac:dyDescent="0.6">
      <c r="A19" s="9"/>
      <c r="B19" s="9" t="s">
        <v>223</v>
      </c>
      <c r="C19" s="43">
        <f>Input!$B$30*Input!$B$32/Input!$B$31</f>
        <v>62500</v>
      </c>
      <c r="D19" s="43">
        <f>C19*1.1</f>
        <v>68750</v>
      </c>
      <c r="E19" s="43">
        <f>D19*1.1</f>
        <v>75625</v>
      </c>
      <c r="F19" s="43">
        <f>E19*1.1</f>
        <v>83187.5</v>
      </c>
      <c r="G19" s="43">
        <f>F19*1.1</f>
        <v>91506.250000000015</v>
      </c>
      <c r="H19" s="43">
        <f>G19*1.1</f>
        <v>100656.87500000003</v>
      </c>
      <c r="I19" s="43">
        <f t="shared" ref="I19:K19" si="4">H19*1.1</f>
        <v>110722.56250000004</v>
      </c>
      <c r="J19" s="43">
        <f t="shared" si="4"/>
        <v>121794.81875000006</v>
      </c>
      <c r="K19" s="43">
        <f t="shared" si="4"/>
        <v>133974.30062500009</v>
      </c>
    </row>
    <row r="20" spans="1:11" x14ac:dyDescent="0.6">
      <c r="A20" s="9"/>
      <c r="B20" s="9" t="s">
        <v>215</v>
      </c>
      <c r="C20" s="43">
        <f>Input!B42</f>
        <v>120000</v>
      </c>
      <c r="D20" s="43">
        <f>C20</f>
        <v>120000</v>
      </c>
      <c r="E20" s="43">
        <f t="shared" ref="E20:K21" si="5">D20</f>
        <v>120000</v>
      </c>
      <c r="F20" s="43">
        <f t="shared" si="5"/>
        <v>120000</v>
      </c>
      <c r="G20" s="43">
        <f t="shared" si="5"/>
        <v>120000</v>
      </c>
      <c r="H20" s="43">
        <f t="shared" si="5"/>
        <v>120000</v>
      </c>
      <c r="I20" s="43">
        <f t="shared" si="5"/>
        <v>120000</v>
      </c>
      <c r="J20" s="43">
        <f t="shared" si="5"/>
        <v>120000</v>
      </c>
      <c r="K20" s="43">
        <f t="shared" si="5"/>
        <v>120000</v>
      </c>
    </row>
    <row r="21" spans="1:11" x14ac:dyDescent="0.6">
      <c r="A21" s="9"/>
      <c r="B21" s="9" t="s">
        <v>308</v>
      </c>
      <c r="C21" s="43">
        <f>Input!B47</f>
        <v>100000</v>
      </c>
      <c r="D21" s="43">
        <f>C21</f>
        <v>100000</v>
      </c>
      <c r="E21" s="43">
        <f t="shared" si="5"/>
        <v>100000</v>
      </c>
      <c r="F21" s="43">
        <f t="shared" si="5"/>
        <v>100000</v>
      </c>
      <c r="G21" s="43">
        <f t="shared" si="5"/>
        <v>100000</v>
      </c>
      <c r="H21" s="43">
        <f t="shared" si="5"/>
        <v>100000</v>
      </c>
      <c r="I21" s="43">
        <f t="shared" si="5"/>
        <v>100000</v>
      </c>
      <c r="J21" s="43">
        <f t="shared" si="5"/>
        <v>100000</v>
      </c>
      <c r="K21" s="43">
        <f t="shared" si="5"/>
        <v>100000</v>
      </c>
    </row>
    <row r="22" spans="1:11" x14ac:dyDescent="0.6">
      <c r="A22" s="9"/>
      <c r="B22" s="9" t="s">
        <v>8</v>
      </c>
      <c r="C22" s="43">
        <f>SUM(C15:C21)</f>
        <v>570500</v>
      </c>
      <c r="D22" s="43">
        <f t="shared" ref="D22:K22" si="6">SUM(D15:D21)</f>
        <v>576750</v>
      </c>
      <c r="E22" s="43">
        <f t="shared" si="6"/>
        <v>583625</v>
      </c>
      <c r="F22" s="43">
        <f t="shared" si="6"/>
        <v>591187.5</v>
      </c>
      <c r="G22" s="43">
        <f t="shared" si="6"/>
        <v>599506.25</v>
      </c>
      <c r="H22" s="43">
        <f t="shared" si="6"/>
        <v>608656.875</v>
      </c>
      <c r="I22" s="43">
        <f t="shared" si="6"/>
        <v>618722.5625</v>
      </c>
      <c r="J22" s="43">
        <f t="shared" si="6"/>
        <v>629794.81875000009</v>
      </c>
      <c r="K22" s="43">
        <f t="shared" si="6"/>
        <v>641974.30062500015</v>
      </c>
    </row>
    <row r="23" spans="1:11" x14ac:dyDescent="0.6">
      <c r="A23" s="9"/>
      <c r="B23" s="9"/>
      <c r="C23" s="43"/>
      <c r="D23" s="43"/>
      <c r="E23" s="43"/>
      <c r="F23" s="43"/>
      <c r="G23" s="43"/>
      <c r="H23" s="43"/>
      <c r="I23" s="43"/>
      <c r="J23" s="43"/>
      <c r="K23" s="43"/>
    </row>
    <row r="24" spans="1:11" x14ac:dyDescent="0.6">
      <c r="A24" s="9"/>
      <c r="B24" s="9" t="s">
        <v>75</v>
      </c>
      <c r="C24" s="43">
        <f t="shared" ref="C24:K24" si="7">C22+C13</f>
        <v>1135500</v>
      </c>
      <c r="D24" s="43">
        <f t="shared" si="7"/>
        <v>1164200</v>
      </c>
      <c r="E24" s="43">
        <f t="shared" si="7"/>
        <v>1195667.5</v>
      </c>
      <c r="F24" s="43">
        <f t="shared" si="7"/>
        <v>1230174.125</v>
      </c>
      <c r="G24" s="43">
        <f t="shared" si="7"/>
        <v>1268018.40625</v>
      </c>
      <c r="H24" s="43">
        <f t="shared" si="7"/>
        <v>1309528.4590625002</v>
      </c>
      <c r="I24" s="43">
        <f t="shared" si="7"/>
        <v>1355064.9277656251</v>
      </c>
      <c r="J24" s="43">
        <f t="shared" si="7"/>
        <v>1405024.2244789065</v>
      </c>
      <c r="K24" s="43">
        <f t="shared" si="7"/>
        <v>1459842.091060352</v>
      </c>
    </row>
    <row r="25" spans="1:11" x14ac:dyDescent="0.6">
      <c r="A25" s="9"/>
      <c r="B25" s="9" t="s">
        <v>76</v>
      </c>
      <c r="C25" s="43">
        <f>$C$42*Input!$B$40*C5</f>
        <v>2221714.2857142859</v>
      </c>
      <c r="D25" s="43">
        <f>$C$42*Input!$B$40*D5*(Input!$B$41+1)</f>
        <v>2647542.8571428577</v>
      </c>
      <c r="E25" s="43">
        <f>$C$42*Input!$B$40*E5*(Input!$B$41+1)</f>
        <v>2851200.0000000009</v>
      </c>
      <c r="F25" s="43">
        <f>$C$42*Input!$B$40*F5*(Input!$B$41+1)</f>
        <v>3054857.1428571437</v>
      </c>
      <c r="G25" s="43">
        <f>$C$42*Input!$B$40*G5*(Input!$B$41+1)</f>
        <v>3258514.2857142868</v>
      </c>
      <c r="H25" s="43">
        <f>$C$42*Input!$B$40*H5*(Input!$B$41+1)</f>
        <v>3462171.42857143</v>
      </c>
      <c r="I25" s="43">
        <f>$C$42*Input!$B$40*I5*(Input!$B$41+1)</f>
        <v>3665828.5714285728</v>
      </c>
      <c r="J25" s="43">
        <f>$C$42*Input!$B$40*J5*(Input!$B$41+1)</f>
        <v>3869485.7142857164</v>
      </c>
      <c r="K25" s="43">
        <f>$C$42*Input!$B$40*K5*(Input!$B$41+1)</f>
        <v>4073142.8571428587</v>
      </c>
    </row>
    <row r="26" spans="1:11" x14ac:dyDescent="0.6">
      <c r="A26" s="9"/>
      <c r="B26" s="9" t="s">
        <v>77</v>
      </c>
      <c r="C26" s="43">
        <f t="shared" ref="C26:K26" si="8">C25-C24</f>
        <v>1086214.2857142859</v>
      </c>
      <c r="D26" s="43">
        <f t="shared" si="8"/>
        <v>1483342.8571428577</v>
      </c>
      <c r="E26" s="43">
        <f t="shared" si="8"/>
        <v>1655532.5000000009</v>
      </c>
      <c r="F26" s="43">
        <f t="shared" si="8"/>
        <v>1824683.0178571437</v>
      </c>
      <c r="G26" s="43">
        <f t="shared" si="8"/>
        <v>1990495.8794642868</v>
      </c>
      <c r="H26" s="43">
        <f t="shared" si="8"/>
        <v>2152642.9695089301</v>
      </c>
      <c r="I26" s="43">
        <f t="shared" si="8"/>
        <v>2310763.6436629477</v>
      </c>
      <c r="J26" s="43">
        <f t="shared" si="8"/>
        <v>2464461.4898068099</v>
      </c>
      <c r="K26" s="43">
        <f t="shared" si="8"/>
        <v>2613300.7660825066</v>
      </c>
    </row>
    <row r="27" spans="1:11" x14ac:dyDescent="0.6">
      <c r="A27" s="9"/>
      <c r="B27" s="9"/>
      <c r="C27" s="43"/>
      <c r="D27" s="43"/>
      <c r="E27" s="43"/>
      <c r="F27" s="43"/>
      <c r="G27" s="43"/>
      <c r="H27" s="43"/>
      <c r="I27" s="43"/>
      <c r="J27" s="43"/>
      <c r="K27" s="43"/>
    </row>
    <row r="28" spans="1:11" x14ac:dyDescent="0.6">
      <c r="A28" s="9"/>
      <c r="B28" s="9" t="s">
        <v>78</v>
      </c>
      <c r="C28" s="43"/>
      <c r="D28" s="43"/>
      <c r="E28" s="43"/>
      <c r="F28" s="43"/>
      <c r="G28" s="43"/>
      <c r="H28" s="43"/>
      <c r="I28" s="43"/>
      <c r="J28" s="43"/>
      <c r="K28" s="43"/>
    </row>
    <row r="29" spans="1:11" x14ac:dyDescent="0.6">
      <c r="A29" s="9"/>
      <c r="B29" s="9" t="s">
        <v>79</v>
      </c>
      <c r="C29" s="43">
        <f>SUM('Ann 13'!E9:E12)*100000</f>
        <v>100116.33333333334</v>
      </c>
      <c r="D29" s="43">
        <f>SUM('Ann 13'!E13:E16)*100000</f>
        <v>85813.999999999985</v>
      </c>
      <c r="E29" s="43">
        <f>SUM('Ann 13'!E17:E20)*100000</f>
        <v>70558.177777777746</v>
      </c>
      <c r="F29" s="43">
        <f>SUM('Ann 13'!E21:E24)*100000</f>
        <v>55302.355555555514</v>
      </c>
      <c r="G29" s="43">
        <f>SUM('Ann 13'!E25:E28)*100000</f>
        <v>40046.533333333304</v>
      </c>
      <c r="H29" s="43">
        <f>SUM('Ann 13'!E29:E32)*100000</f>
        <v>24790.711111111079</v>
      </c>
      <c r="I29" s="43">
        <f>SUM('Ann 13'!E33:E36)*100000</f>
        <v>9534.8888888888559</v>
      </c>
      <c r="J29" s="43">
        <v>0</v>
      </c>
      <c r="K29" s="43">
        <v>0</v>
      </c>
    </row>
    <row r="30" spans="1:11" x14ac:dyDescent="0.6">
      <c r="A30" s="9"/>
      <c r="B30" s="9" t="s">
        <v>145</v>
      </c>
      <c r="C30" s="43">
        <f>'Ann 1'!$C$25*100000*10%</f>
        <v>20000</v>
      </c>
      <c r="D30" s="43">
        <f>'Ann 1'!$C$25*100000*10%</f>
        <v>20000</v>
      </c>
      <c r="E30" s="43">
        <f>'Ann 1'!$C$25*100000*10%</f>
        <v>20000</v>
      </c>
      <c r="F30" s="43">
        <f>'Ann 1'!$C$25*100000*10%</f>
        <v>20000</v>
      </c>
      <c r="G30" s="43">
        <f>'Ann 1'!$C$25*100000*10%</f>
        <v>20000</v>
      </c>
      <c r="H30" s="43">
        <f>'Ann 1'!$C$25*100000*10%</f>
        <v>20000</v>
      </c>
      <c r="I30" s="43">
        <f>'Ann 1'!$C$25*100000*10%</f>
        <v>20000</v>
      </c>
      <c r="J30" s="43">
        <f>'Ann 1'!$C$25*100000*10%</f>
        <v>20000</v>
      </c>
      <c r="K30" s="43">
        <f>'Ann 1'!$C$25*100000*10%</f>
        <v>20000</v>
      </c>
    </row>
    <row r="31" spans="1:11" x14ac:dyDescent="0.6">
      <c r="A31" s="9"/>
      <c r="B31" s="44" t="s">
        <v>211</v>
      </c>
      <c r="C31" s="43">
        <f>SUM(C29:C30)</f>
        <v>120116.33333333334</v>
      </c>
      <c r="D31" s="43">
        <f t="shared" ref="D31:K31" si="9">SUM(D29:D30)</f>
        <v>105813.99999999999</v>
      </c>
      <c r="E31" s="43">
        <f t="shared" si="9"/>
        <v>90558.177777777746</v>
      </c>
      <c r="F31" s="43">
        <f t="shared" si="9"/>
        <v>75302.355555555521</v>
      </c>
      <c r="G31" s="43">
        <f t="shared" si="9"/>
        <v>60046.533333333304</v>
      </c>
      <c r="H31" s="43">
        <f t="shared" si="9"/>
        <v>44790.711111111079</v>
      </c>
      <c r="I31" s="43">
        <f t="shared" si="9"/>
        <v>29534.888888888854</v>
      </c>
      <c r="J31" s="43">
        <f t="shared" si="9"/>
        <v>20000</v>
      </c>
      <c r="K31" s="43">
        <f t="shared" si="9"/>
        <v>20000</v>
      </c>
    </row>
    <row r="32" spans="1:11" x14ac:dyDescent="0.6">
      <c r="A32" s="9"/>
      <c r="B32" s="9"/>
      <c r="C32" s="43"/>
      <c r="D32" s="43"/>
      <c r="E32" s="43"/>
      <c r="F32" s="43"/>
      <c r="G32" s="43"/>
      <c r="H32" s="43"/>
      <c r="I32" s="43"/>
      <c r="J32" s="43"/>
      <c r="K32" s="43"/>
    </row>
    <row r="33" spans="1:11" x14ac:dyDescent="0.6">
      <c r="A33" s="9"/>
      <c r="B33" s="9" t="s">
        <v>89</v>
      </c>
      <c r="C33" s="43">
        <f t="shared" ref="C33:K33" si="10">C26-C31</f>
        <v>966097.95238095254</v>
      </c>
      <c r="D33" s="43">
        <f t="shared" si="10"/>
        <v>1377528.8571428577</v>
      </c>
      <c r="E33" s="43">
        <f t="shared" si="10"/>
        <v>1564974.3222222233</v>
      </c>
      <c r="F33" s="43">
        <f t="shared" si="10"/>
        <v>1749380.6623015881</v>
      </c>
      <c r="G33" s="43">
        <f t="shared" si="10"/>
        <v>1930449.3461309536</v>
      </c>
      <c r="H33" s="43">
        <f t="shared" si="10"/>
        <v>2107852.258397819</v>
      </c>
      <c r="I33" s="43">
        <f t="shared" si="10"/>
        <v>2281228.7547740587</v>
      </c>
      <c r="J33" s="43">
        <f t="shared" si="10"/>
        <v>2444461.4898068099</v>
      </c>
      <c r="K33" s="43">
        <f t="shared" si="10"/>
        <v>2593300.7660825066</v>
      </c>
    </row>
    <row r="34" spans="1:11" x14ac:dyDescent="0.6">
      <c r="A34" s="9"/>
      <c r="B34" s="9" t="s">
        <v>149</v>
      </c>
      <c r="C34" s="43">
        <f>'Ann 1'!C34*100000</f>
        <v>50000</v>
      </c>
      <c r="D34" s="43">
        <v>0</v>
      </c>
      <c r="E34" s="43">
        <v>0</v>
      </c>
      <c r="F34" s="43">
        <v>0</v>
      </c>
      <c r="G34" s="43">
        <v>0</v>
      </c>
      <c r="H34" s="43">
        <v>0</v>
      </c>
      <c r="I34" s="43">
        <v>0</v>
      </c>
      <c r="J34" s="43">
        <v>0</v>
      </c>
      <c r="K34" s="43">
        <v>0</v>
      </c>
    </row>
    <row r="35" spans="1:11" x14ac:dyDescent="0.6">
      <c r="A35" s="9"/>
      <c r="B35" s="44" t="s">
        <v>68</v>
      </c>
      <c r="C35" s="71">
        <f>'Ann 9'!F12</f>
        <v>281880</v>
      </c>
      <c r="D35" s="71">
        <f>'Ann 9'!F13</f>
        <v>239598</v>
      </c>
      <c r="E35" s="43">
        <f>'Ann 9'!F14</f>
        <v>203658.3</v>
      </c>
      <c r="F35" s="43">
        <f>'Ann 9'!F15</f>
        <v>173109.55499999999</v>
      </c>
      <c r="G35" s="43">
        <f>'Ann 9'!F16</f>
        <v>147143.12174999999</v>
      </c>
      <c r="H35" s="43">
        <f>'Ann 9'!F17</f>
        <v>125071.65348750001</v>
      </c>
      <c r="I35" s="43">
        <f>'Ann 9'!F18</f>
        <v>106310.905464375</v>
      </c>
      <c r="J35" s="43">
        <f>'Ann 9'!F19</f>
        <v>90364.269644718748</v>
      </c>
      <c r="K35" s="43">
        <f>'Ann 9'!F20</f>
        <v>76809.629198010938</v>
      </c>
    </row>
    <row r="36" spans="1:11" x14ac:dyDescent="0.6">
      <c r="A36" s="9"/>
      <c r="B36" s="44" t="s">
        <v>90</v>
      </c>
      <c r="C36" s="43">
        <f>C33-C34-C35</f>
        <v>634217.95238095254</v>
      </c>
      <c r="D36" s="43">
        <f t="shared" ref="D36:K36" si="11">D33-D34-D35</f>
        <v>1137930.8571428577</v>
      </c>
      <c r="E36" s="43">
        <f t="shared" si="11"/>
        <v>1361316.0222222232</v>
      </c>
      <c r="F36" s="43">
        <f t="shared" si="11"/>
        <v>1576271.1073015882</v>
      </c>
      <c r="G36" s="43">
        <f t="shared" si="11"/>
        <v>1783306.2243809537</v>
      </c>
      <c r="H36" s="43">
        <f t="shared" si="11"/>
        <v>1982780.604910319</v>
      </c>
      <c r="I36" s="43">
        <f t="shared" si="11"/>
        <v>2174917.8493096838</v>
      </c>
      <c r="J36" s="43">
        <f t="shared" si="11"/>
        <v>2354097.2201620913</v>
      </c>
      <c r="K36" s="43">
        <f t="shared" si="11"/>
        <v>2516491.1368844956</v>
      </c>
    </row>
    <row r="37" spans="1:11" x14ac:dyDescent="0.6">
      <c r="A37" s="9"/>
      <c r="B37" s="44" t="s">
        <v>219</v>
      </c>
      <c r="C37" s="43">
        <f>'Ann 10'!B14</f>
        <v>205265.38571428575</v>
      </c>
      <c r="D37" s="43">
        <f>'Ann 10'!C14</f>
        <v>341379.2571428573</v>
      </c>
      <c r="E37" s="43">
        <f>'Ann 10'!D14</f>
        <v>408394.80666666693</v>
      </c>
      <c r="F37" s="43">
        <f>'Ann 10'!E14</f>
        <v>472881.33219047642</v>
      </c>
      <c r="G37" s="43">
        <f>'Ann 10'!F14</f>
        <v>534991.86731428606</v>
      </c>
      <c r="H37" s="43">
        <f>'Ann 10'!G14</f>
        <v>594834.18147309567</v>
      </c>
      <c r="I37" s="43">
        <f>'Ann 10'!H14</f>
        <v>652475.35479290516</v>
      </c>
      <c r="J37" s="43">
        <f>'Ann 10'!I14</f>
        <v>706229.16604862735</v>
      </c>
      <c r="K37" s="43">
        <f>'Ann 10'!J14</f>
        <v>754947.34106534871</v>
      </c>
    </row>
    <row r="38" spans="1:11" x14ac:dyDescent="0.6">
      <c r="A38" s="9"/>
      <c r="B38" s="44" t="s">
        <v>91</v>
      </c>
      <c r="C38" s="43">
        <f>C36-C37</f>
        <v>428952.56666666677</v>
      </c>
      <c r="D38" s="43">
        <f>D36-D37</f>
        <v>796551.60000000044</v>
      </c>
      <c r="E38" s="43">
        <f t="shared" ref="E38:K38" si="12">E36-E37</f>
        <v>952921.21555555635</v>
      </c>
      <c r="F38" s="43">
        <f t="shared" si="12"/>
        <v>1103389.7751111118</v>
      </c>
      <c r="G38" s="43">
        <f t="shared" si="12"/>
        <v>1248314.3570666676</v>
      </c>
      <c r="H38" s="43">
        <f t="shared" si="12"/>
        <v>1387946.4234372233</v>
      </c>
      <c r="I38" s="43">
        <f t="shared" si="12"/>
        <v>1522442.4945167787</v>
      </c>
      <c r="J38" s="43">
        <f t="shared" si="12"/>
        <v>1647868.054113464</v>
      </c>
      <c r="K38" s="43">
        <f t="shared" si="12"/>
        <v>1761543.795819147</v>
      </c>
    </row>
    <row r="39" spans="1:11" x14ac:dyDescent="0.6">
      <c r="A39" s="9"/>
      <c r="B39" s="44" t="s">
        <v>222</v>
      </c>
      <c r="C39" s="43">
        <f>C38*80%</f>
        <v>343162.05333333346</v>
      </c>
      <c r="D39" s="43">
        <f t="shared" ref="D39:K39" si="13">D38*80%</f>
        <v>637241.28000000038</v>
      </c>
      <c r="E39" s="43">
        <f t="shared" si="13"/>
        <v>762336.97244444513</v>
      </c>
      <c r="F39" s="43">
        <f t="shared" si="13"/>
        <v>882711.82008888945</v>
      </c>
      <c r="G39" s="43">
        <f t="shared" si="13"/>
        <v>998651.48565333418</v>
      </c>
      <c r="H39" s="43">
        <f t="shared" si="13"/>
        <v>1110357.1387497787</v>
      </c>
      <c r="I39" s="43">
        <f t="shared" si="13"/>
        <v>1217953.9956134229</v>
      </c>
      <c r="J39" s="43">
        <f t="shared" si="13"/>
        <v>1318294.4432907712</v>
      </c>
      <c r="K39" s="43">
        <f t="shared" si="13"/>
        <v>1409235.0366553178</v>
      </c>
    </row>
    <row r="40" spans="1:11" x14ac:dyDescent="0.6">
      <c r="A40" s="9"/>
      <c r="B40" s="44" t="s">
        <v>101</v>
      </c>
      <c r="C40" s="43">
        <f>C38-C39</f>
        <v>85790.513333333307</v>
      </c>
      <c r="D40" s="43">
        <f t="shared" ref="D40:K40" si="14">D38-D39</f>
        <v>159310.32000000007</v>
      </c>
      <c r="E40" s="43">
        <f t="shared" si="14"/>
        <v>190584.24311111122</v>
      </c>
      <c r="F40" s="43">
        <f t="shared" si="14"/>
        <v>220677.95502222236</v>
      </c>
      <c r="G40" s="43">
        <f t="shared" si="14"/>
        <v>249662.87141333346</v>
      </c>
      <c r="H40" s="43">
        <f t="shared" si="14"/>
        <v>277589.28468744457</v>
      </c>
      <c r="I40" s="43">
        <f t="shared" si="14"/>
        <v>304488.49890335579</v>
      </c>
      <c r="J40" s="43">
        <f t="shared" si="14"/>
        <v>329573.61082269275</v>
      </c>
      <c r="K40" s="43">
        <f t="shared" si="14"/>
        <v>352308.75916382927</v>
      </c>
    </row>
    <row r="42" spans="1:11" x14ac:dyDescent="0.6">
      <c r="A42" s="8" t="s">
        <v>285</v>
      </c>
      <c r="C42" s="72">
        <f>Input!B45*Input!B44*60/Input!B43</f>
        <v>8228.5714285714294</v>
      </c>
    </row>
  </sheetData>
  <mergeCells count="3">
    <mergeCell ref="C3:K3"/>
    <mergeCell ref="B3:B4"/>
    <mergeCell ref="A3:A4"/>
  </mergeCells>
  <pageMargins left="0.7" right="0.7" top="0.75" bottom="0.75" header="0.3" footer="0.3"/>
  <pageSetup scale="59" fitToHeight="0" orientation="landscape" r:id="rId1"/>
  <ignoredErrors>
    <ignoredError sqref="D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workbookViewId="0"/>
  </sheetViews>
  <sheetFormatPr defaultRowHeight="17" x14ac:dyDescent="0.6"/>
  <cols>
    <col min="1" max="1" width="8.7265625" style="8"/>
    <col min="2" max="2" width="28.26953125" style="8" customWidth="1"/>
    <col min="3" max="3" width="15.6328125" style="8" bestFit="1" customWidth="1"/>
    <col min="4" max="10" width="13.7265625" style="8" bestFit="1" customWidth="1"/>
    <col min="11" max="11" width="13.6328125" style="8" bestFit="1" customWidth="1"/>
    <col min="12" max="12" width="10" style="8" bestFit="1" customWidth="1"/>
    <col min="13" max="16384" width="8.7265625" style="8"/>
  </cols>
  <sheetData>
    <row r="1" spans="1:11" x14ac:dyDescent="0.6">
      <c r="A1" s="7" t="s">
        <v>102</v>
      </c>
    </row>
    <row r="3" spans="1:11" x14ac:dyDescent="0.6">
      <c r="A3" s="8" t="s">
        <v>103</v>
      </c>
    </row>
    <row r="5" spans="1:11" x14ac:dyDescent="0.6">
      <c r="A5" s="117" t="s">
        <v>35</v>
      </c>
      <c r="B5" s="117" t="s">
        <v>36</v>
      </c>
      <c r="C5" s="117" t="s">
        <v>46</v>
      </c>
      <c r="D5" s="117"/>
      <c r="E5" s="117"/>
      <c r="F5" s="117"/>
      <c r="G5" s="117"/>
      <c r="H5" s="117"/>
      <c r="I5" s="117"/>
      <c r="J5" s="117"/>
      <c r="K5" s="117"/>
    </row>
    <row r="6" spans="1:11" x14ac:dyDescent="0.6">
      <c r="A6" s="117"/>
      <c r="B6" s="117"/>
      <c r="C6" s="57" t="s">
        <v>37</v>
      </c>
      <c r="D6" s="57" t="s">
        <v>38</v>
      </c>
      <c r="E6" s="57" t="s">
        <v>39</v>
      </c>
      <c r="F6" s="57" t="s">
        <v>40</v>
      </c>
      <c r="G6" s="57" t="s">
        <v>41</v>
      </c>
      <c r="H6" s="57" t="s">
        <v>42</v>
      </c>
      <c r="I6" s="57" t="s">
        <v>43</v>
      </c>
      <c r="J6" s="57" t="s">
        <v>44</v>
      </c>
      <c r="K6" s="57" t="s">
        <v>45</v>
      </c>
    </row>
    <row r="7" spans="1:11" x14ac:dyDescent="0.6">
      <c r="A7" s="34" t="s">
        <v>135</v>
      </c>
      <c r="B7" s="46" t="s">
        <v>104</v>
      </c>
      <c r="C7" s="47"/>
      <c r="D7" s="47"/>
      <c r="E7" s="48"/>
      <c r="F7" s="48"/>
      <c r="G7" s="48"/>
      <c r="H7" s="48"/>
      <c r="I7" s="48"/>
      <c r="J7" s="48"/>
      <c r="K7" s="48"/>
    </row>
    <row r="8" spans="1:11" x14ac:dyDescent="0.6">
      <c r="A8" s="30">
        <v>1</v>
      </c>
      <c r="B8" s="31" t="s">
        <v>105</v>
      </c>
      <c r="C8" s="14"/>
      <c r="D8" s="14"/>
      <c r="E8" s="15"/>
      <c r="F8" s="15"/>
      <c r="G8" s="15"/>
      <c r="H8" s="15"/>
      <c r="I8" s="15"/>
      <c r="J8" s="15"/>
      <c r="K8" s="15"/>
    </row>
    <row r="9" spans="1:11" x14ac:dyDescent="0.6">
      <c r="A9" s="30"/>
      <c r="B9" s="31" t="s">
        <v>106</v>
      </c>
      <c r="C9" s="49">
        <f>'Ann 9'!F6*100000</f>
        <v>1879200.0000000002</v>
      </c>
      <c r="D9" s="50">
        <f>C11</f>
        <v>1597320.0000000002</v>
      </c>
      <c r="E9" s="18">
        <f t="shared" ref="E9:K9" si="0">D11</f>
        <v>1357722.0000000002</v>
      </c>
      <c r="F9" s="18">
        <f t="shared" si="0"/>
        <v>1154063.7000000002</v>
      </c>
      <c r="G9" s="18">
        <f t="shared" si="0"/>
        <v>980954.14500000025</v>
      </c>
      <c r="H9" s="18">
        <f t="shared" si="0"/>
        <v>833811.02325000032</v>
      </c>
      <c r="I9" s="18">
        <f t="shared" si="0"/>
        <v>708739.36976250028</v>
      </c>
      <c r="J9" s="18">
        <f t="shared" si="0"/>
        <v>602428.46429812524</v>
      </c>
      <c r="K9" s="18">
        <f t="shared" si="0"/>
        <v>512064.19465340651</v>
      </c>
    </row>
    <row r="10" spans="1:11" x14ac:dyDescent="0.6">
      <c r="A10" s="30"/>
      <c r="B10" s="31" t="s">
        <v>107</v>
      </c>
      <c r="C10" s="49">
        <f>'Ann 9'!F12</f>
        <v>281880</v>
      </c>
      <c r="D10" s="50">
        <f>'Ann 9'!F13</f>
        <v>239598</v>
      </c>
      <c r="E10" s="18">
        <f>'Ann 9'!F14</f>
        <v>203658.3</v>
      </c>
      <c r="F10" s="18">
        <f>'Ann 9'!F15</f>
        <v>173109.55499999999</v>
      </c>
      <c r="G10" s="18">
        <f>'Ann 9'!F16</f>
        <v>147143.12174999999</v>
      </c>
      <c r="H10" s="18">
        <f>'Ann 9'!F17</f>
        <v>125071.65348750001</v>
      </c>
      <c r="I10" s="18">
        <f>'Ann 9'!F18</f>
        <v>106310.905464375</v>
      </c>
      <c r="J10" s="18">
        <f>'Ann 9'!F19</f>
        <v>90364.269644718748</v>
      </c>
      <c r="K10" s="18">
        <f>'Ann 9'!F20</f>
        <v>76809.629198010938</v>
      </c>
    </row>
    <row r="11" spans="1:11" x14ac:dyDescent="0.6">
      <c r="A11" s="30"/>
      <c r="B11" s="31" t="s">
        <v>108</v>
      </c>
      <c r="C11" s="49">
        <f>C9-C10</f>
        <v>1597320.0000000002</v>
      </c>
      <c r="D11" s="50">
        <f>D9-D10</f>
        <v>1357722.0000000002</v>
      </c>
      <c r="E11" s="18">
        <f t="shared" ref="E11:K11" si="1">E9-E10</f>
        <v>1154063.7000000002</v>
      </c>
      <c r="F11" s="18">
        <f t="shared" si="1"/>
        <v>980954.14500000025</v>
      </c>
      <c r="G11" s="18">
        <f t="shared" si="1"/>
        <v>833811.02325000032</v>
      </c>
      <c r="H11" s="18">
        <f t="shared" si="1"/>
        <v>708739.36976250028</v>
      </c>
      <c r="I11" s="18">
        <f t="shared" si="1"/>
        <v>602428.46429812524</v>
      </c>
      <c r="J11" s="18">
        <f t="shared" si="1"/>
        <v>512064.19465340651</v>
      </c>
      <c r="K11" s="18">
        <f t="shared" si="1"/>
        <v>435254.56545539555</v>
      </c>
    </row>
    <row r="12" spans="1:11" x14ac:dyDescent="0.6">
      <c r="A12" s="30"/>
      <c r="B12" s="31" t="s">
        <v>294</v>
      </c>
      <c r="C12" s="49">
        <f>(Input!$B$20*Input!$B$21)-'Ann 4'!C9</f>
        <v>0</v>
      </c>
      <c r="D12" s="49">
        <f>C12-'Ann 4'!D9</f>
        <v>0</v>
      </c>
      <c r="E12" s="49">
        <f>D12-'Ann 4'!E9</f>
        <v>0</v>
      </c>
      <c r="F12" s="49">
        <f>E12-'Ann 4'!F9</f>
        <v>0</v>
      </c>
      <c r="G12" s="49">
        <f>IF(((Input!$B$20*Input!$B$21)-'Ann 4'!G9)=(Input!$B$20*Input!$B$21),0,0)</f>
        <v>0</v>
      </c>
      <c r="H12" s="49">
        <f>IF(((Input!$B$20*Input!$B$21)-'Ann 4'!H9)=(Input!$B$20*Input!$B$21),0,0)</f>
        <v>0</v>
      </c>
      <c r="I12" s="49">
        <f>IF(((Input!$B$20*Input!$B$21)-'Ann 4'!I9)=(Input!$B$20*Input!$B$21),0,0)</f>
        <v>0</v>
      </c>
      <c r="J12" s="49">
        <f>IF(((Input!$B$20*Input!$B$21)-'Ann 4'!J9)=(Input!$B$20*Input!$B$21),0,0)</f>
        <v>0</v>
      </c>
      <c r="K12" s="49">
        <f>IF(((Input!$B$20*Input!$B$21)-'Ann 4'!K9)=(Input!$B$20*Input!$B$21),0,0)</f>
        <v>0</v>
      </c>
    </row>
    <row r="13" spans="1:11" x14ac:dyDescent="0.6">
      <c r="A13" s="30">
        <v>2</v>
      </c>
      <c r="B13" s="31" t="s">
        <v>109</v>
      </c>
      <c r="C13" s="49">
        <f>'Ann 4'!C25*30/360</f>
        <v>185142.85714285716</v>
      </c>
      <c r="D13" s="49">
        <f>'Ann 4'!D25*30/360</f>
        <v>220628.57142857148</v>
      </c>
      <c r="E13" s="49">
        <f>'Ann 4'!E25*30/360</f>
        <v>237600.00000000009</v>
      </c>
      <c r="F13" s="49">
        <f>'Ann 4'!F25*30/360</f>
        <v>254571.42857142864</v>
      </c>
      <c r="G13" s="49">
        <f>'Ann 4'!G25*30/360</f>
        <v>271542.85714285728</v>
      </c>
      <c r="H13" s="49">
        <f>'Ann 4'!H25*30/360</f>
        <v>288514.2857142858</v>
      </c>
      <c r="I13" s="49">
        <f>'Ann 4'!I25*30/360</f>
        <v>305485.71428571438</v>
      </c>
      <c r="J13" s="49">
        <f>'Ann 4'!J25*30/360</f>
        <v>322457.14285714302</v>
      </c>
      <c r="K13" s="49">
        <f>'Ann 4'!K25*30/360</f>
        <v>339428.57142857154</v>
      </c>
    </row>
    <row r="14" spans="1:11" x14ac:dyDescent="0.6">
      <c r="A14" s="30">
        <v>3</v>
      </c>
      <c r="B14" s="31" t="s">
        <v>110</v>
      </c>
      <c r="C14" s="52">
        <f>'Ann 14'!C27</f>
        <v>295163.21174603119</v>
      </c>
      <c r="D14" s="52">
        <f>'Ann 14'!D27</f>
        <v>404322.11375661381</v>
      </c>
      <c r="E14" s="52">
        <f>'Ann 14'!E27</f>
        <v>527329.52459259273</v>
      </c>
      <c r="F14" s="52">
        <f>'Ann 14'!F27</f>
        <v>649881.90233968303</v>
      </c>
      <c r="G14" s="52">
        <f>'Ann 14'!G27</f>
        <v>775452.76322788396</v>
      </c>
      <c r="H14" s="52">
        <f>'Ann 14'!H27</f>
        <v>906878.56912769668</v>
      </c>
      <c r="I14" s="52">
        <f>'Ann 14'!I27</f>
        <v>1046442.8412202948</v>
      </c>
      <c r="J14" s="52">
        <f>'Ann 14'!J27</f>
        <v>1449409.2931162773</v>
      </c>
      <c r="K14" s="52">
        <f>'Ann 14'!K27</f>
        <v>1861556.2529066883</v>
      </c>
    </row>
    <row r="15" spans="1:11" x14ac:dyDescent="0.6">
      <c r="A15" s="30"/>
      <c r="B15" s="31" t="s">
        <v>118</v>
      </c>
      <c r="C15" s="49">
        <f t="shared" ref="C15:K15" si="2">SUM(C11:C14)</f>
        <v>2077626.0688888885</v>
      </c>
      <c r="D15" s="49">
        <f t="shared" si="2"/>
        <v>1982672.6851851856</v>
      </c>
      <c r="E15" s="53">
        <f t="shared" si="2"/>
        <v>1918993.224592593</v>
      </c>
      <c r="F15" s="53">
        <f t="shared" si="2"/>
        <v>1885407.475911112</v>
      </c>
      <c r="G15" s="53">
        <f t="shared" si="2"/>
        <v>1880806.6436207416</v>
      </c>
      <c r="H15" s="53">
        <f t="shared" si="2"/>
        <v>1904132.2246044828</v>
      </c>
      <c r="I15" s="53">
        <f t="shared" si="2"/>
        <v>1954357.0198041345</v>
      </c>
      <c r="J15" s="53">
        <f t="shared" si="2"/>
        <v>2283930.6306268265</v>
      </c>
      <c r="K15" s="53">
        <f t="shared" si="2"/>
        <v>2636239.3897906551</v>
      </c>
    </row>
    <row r="16" spans="1:11" x14ac:dyDescent="0.6">
      <c r="A16" s="30"/>
      <c r="B16" s="31"/>
      <c r="C16" s="49"/>
      <c r="D16" s="49"/>
      <c r="E16" s="53"/>
      <c r="F16" s="53"/>
      <c r="G16" s="53"/>
      <c r="H16" s="53"/>
      <c r="I16" s="53"/>
      <c r="J16" s="53"/>
      <c r="K16" s="53"/>
    </row>
    <row r="17" spans="1:13" x14ac:dyDescent="0.6">
      <c r="A17" s="30" t="s">
        <v>136</v>
      </c>
      <c r="B17" s="54" t="s">
        <v>111</v>
      </c>
      <c r="C17" s="14"/>
      <c r="D17" s="14"/>
      <c r="E17" s="15"/>
      <c r="F17" s="15"/>
      <c r="G17" s="15"/>
      <c r="H17" s="15"/>
      <c r="I17" s="15"/>
      <c r="J17" s="15"/>
      <c r="K17" s="15"/>
    </row>
    <row r="18" spans="1:13" x14ac:dyDescent="0.6">
      <c r="A18" s="30">
        <v>1</v>
      </c>
      <c r="B18" s="31" t="s">
        <v>112</v>
      </c>
      <c r="C18" s="52">
        <f>'Ann 2'!C4*100000</f>
        <v>212920.00000000003</v>
      </c>
      <c r="D18" s="52">
        <f>C21</f>
        <v>298710.51333333331</v>
      </c>
      <c r="E18" s="55">
        <f t="shared" ref="E18:K18" si="3">D21</f>
        <v>458020.83333333337</v>
      </c>
      <c r="F18" s="55">
        <f t="shared" si="3"/>
        <v>648605.0764444446</v>
      </c>
      <c r="G18" s="55">
        <f t="shared" si="3"/>
        <v>869283.03146666696</v>
      </c>
      <c r="H18" s="55">
        <f t="shared" si="3"/>
        <v>1118945.9028800004</v>
      </c>
      <c r="I18" s="55">
        <f t="shared" si="3"/>
        <v>1396535.187567445</v>
      </c>
      <c r="J18" s="55">
        <f t="shared" si="3"/>
        <v>1701023.6864708008</v>
      </c>
      <c r="K18" s="55">
        <f t="shared" si="3"/>
        <v>2030597.2972934935</v>
      </c>
    </row>
    <row r="19" spans="1:13" x14ac:dyDescent="0.6">
      <c r="A19" s="30"/>
      <c r="B19" s="31" t="s">
        <v>113</v>
      </c>
      <c r="C19" s="52">
        <f>'Ann 4'!C40</f>
        <v>85790.513333333307</v>
      </c>
      <c r="D19" s="52">
        <f>'Ann 4'!D40</f>
        <v>159310.32000000007</v>
      </c>
      <c r="E19" s="55">
        <f>'Ann 4'!E40</f>
        <v>190584.24311111122</v>
      </c>
      <c r="F19" s="55">
        <f>'Ann 4'!F40</f>
        <v>220677.95502222236</v>
      </c>
      <c r="G19" s="55">
        <f>'Ann 4'!G40</f>
        <v>249662.87141333346</v>
      </c>
      <c r="H19" s="55">
        <f>'Ann 4'!H40</f>
        <v>277589.28468744457</v>
      </c>
      <c r="I19" s="55">
        <f>'Ann 4'!I40</f>
        <v>304488.49890335579</v>
      </c>
      <c r="J19" s="55">
        <f>'Ann 4'!J40</f>
        <v>329573.61082269275</v>
      </c>
      <c r="K19" s="55">
        <f>'Ann 4'!K40</f>
        <v>352308.75916382927</v>
      </c>
    </row>
    <row r="20" spans="1:13" x14ac:dyDescent="0.6">
      <c r="A20" s="30"/>
      <c r="B20" s="31" t="s">
        <v>114</v>
      </c>
      <c r="C20" s="52">
        <v>0</v>
      </c>
      <c r="D20" s="52">
        <v>0</v>
      </c>
      <c r="E20" s="55">
        <v>0</v>
      </c>
      <c r="F20" s="55">
        <v>0</v>
      </c>
      <c r="G20" s="55">
        <v>0</v>
      </c>
      <c r="H20" s="55">
        <v>0</v>
      </c>
      <c r="I20" s="55">
        <v>0</v>
      </c>
      <c r="J20" s="55">
        <v>0</v>
      </c>
      <c r="K20" s="55">
        <v>0</v>
      </c>
    </row>
    <row r="21" spans="1:13" x14ac:dyDescent="0.6">
      <c r="A21" s="30"/>
      <c r="B21" s="31" t="s">
        <v>115</v>
      </c>
      <c r="C21" s="52">
        <f>C18+C19</f>
        <v>298710.51333333331</v>
      </c>
      <c r="D21" s="52">
        <f t="shared" ref="D21:K21" si="4">D18+D19</f>
        <v>458020.83333333337</v>
      </c>
      <c r="E21" s="55">
        <f t="shared" si="4"/>
        <v>648605.0764444446</v>
      </c>
      <c r="F21" s="55">
        <f t="shared" si="4"/>
        <v>869283.03146666696</v>
      </c>
      <c r="G21" s="55">
        <f t="shared" si="4"/>
        <v>1118945.9028800004</v>
      </c>
      <c r="H21" s="55">
        <f t="shared" si="4"/>
        <v>1396535.187567445</v>
      </c>
      <c r="I21" s="55">
        <f t="shared" si="4"/>
        <v>1701023.6864708008</v>
      </c>
      <c r="J21" s="55">
        <f t="shared" si="4"/>
        <v>2030597.2972934935</v>
      </c>
      <c r="K21" s="55">
        <f t="shared" si="4"/>
        <v>2382906.056457323</v>
      </c>
    </row>
    <row r="22" spans="1:13" x14ac:dyDescent="0.6">
      <c r="A22" s="30">
        <v>2</v>
      </c>
      <c r="B22" s="31" t="s">
        <v>116</v>
      </c>
      <c r="C22" s="52">
        <f>'Ann 13'!C13*100000</f>
        <v>1525582.222222222</v>
      </c>
      <c r="D22" s="52">
        <f>'Ann 13'!C17*100000</f>
        <v>1271318.5185185182</v>
      </c>
      <c r="E22" s="52">
        <f>'Ann 13'!C21*100000</f>
        <v>1017054.8148148142</v>
      </c>
      <c r="F22" s="52">
        <f>'Ann 13'!C25*100000</f>
        <v>762791.11111111043</v>
      </c>
      <c r="G22" s="55">
        <f>('Ann 13'!C28-'Ann 13'!D28)*100000</f>
        <v>508527.40740740689</v>
      </c>
      <c r="H22" s="55">
        <f>('Ann 13'!C32-'Ann 13'!D32)*100000</f>
        <v>254263.70370370318</v>
      </c>
      <c r="I22" s="55">
        <v>0</v>
      </c>
      <c r="J22" s="55">
        <v>0</v>
      </c>
      <c r="K22" s="55">
        <v>0</v>
      </c>
    </row>
    <row r="23" spans="1:13" x14ac:dyDescent="0.6">
      <c r="A23" s="30">
        <v>3</v>
      </c>
      <c r="B23" s="51" t="s">
        <v>144</v>
      </c>
      <c r="C23" s="52">
        <f>'Ann 1'!$C$25*100000</f>
        <v>200000</v>
      </c>
      <c r="D23" s="52">
        <f>'Ann 1'!$C$25*100000</f>
        <v>200000</v>
      </c>
      <c r="E23" s="52">
        <f>'Ann 1'!$C$25*100000</f>
        <v>200000</v>
      </c>
      <c r="F23" s="52">
        <f>'Ann 1'!$C$25*100000</f>
        <v>200000</v>
      </c>
      <c r="G23" s="52">
        <f>'Ann 1'!$C$25*100000</f>
        <v>200000</v>
      </c>
      <c r="H23" s="52">
        <f>'Ann 1'!$C$25*100000</f>
        <v>200000</v>
      </c>
      <c r="I23" s="52">
        <f>'Ann 1'!$C$25*100000</f>
        <v>200000</v>
      </c>
      <c r="J23" s="52">
        <f>'Ann 1'!$C$25*100000</f>
        <v>200000</v>
      </c>
      <c r="K23" s="52">
        <f>'Ann 1'!$C$25*100000</f>
        <v>200000</v>
      </c>
    </row>
    <row r="24" spans="1:13" x14ac:dyDescent="0.6">
      <c r="A24" s="30">
        <v>4</v>
      </c>
      <c r="B24" s="51" t="s">
        <v>140</v>
      </c>
      <c r="C24" s="52">
        <f>('Ann 4'!C11)*60/360</f>
        <v>53333.333333333336</v>
      </c>
      <c r="D24" s="52">
        <f>('Ann 4'!D11)*60/360</f>
        <v>53333.333333333336</v>
      </c>
      <c r="E24" s="52">
        <f>('Ann 4'!E11)*60/360</f>
        <v>53333.333333333336</v>
      </c>
      <c r="F24" s="52">
        <f>('Ann 4'!F11)*60/360</f>
        <v>53333.333333333336</v>
      </c>
      <c r="G24" s="52">
        <f>('Ann 4'!G11)*60/360</f>
        <v>53333.333333333336</v>
      </c>
      <c r="H24" s="52">
        <f>('Ann 4'!H11)*60/360</f>
        <v>53333.333333333336</v>
      </c>
      <c r="I24" s="52">
        <f>('Ann 4'!I11)*60/360</f>
        <v>53333.333333333336</v>
      </c>
      <c r="J24" s="52">
        <f>('Ann 4'!J11)*60/360</f>
        <v>53333.333333333336</v>
      </c>
      <c r="K24" s="52">
        <f>('Ann 4'!K11)*60/360</f>
        <v>53333.333333333336</v>
      </c>
    </row>
    <row r="25" spans="1:13" x14ac:dyDescent="0.6">
      <c r="A25" s="30"/>
      <c r="B25" s="31" t="s">
        <v>117</v>
      </c>
      <c r="C25" s="49">
        <f t="shared" ref="C25:K25" si="5">SUM(C21:C24)</f>
        <v>2077626.0688888885</v>
      </c>
      <c r="D25" s="49">
        <f t="shared" si="5"/>
        <v>1982672.6851851849</v>
      </c>
      <c r="E25" s="49">
        <f t="shared" si="5"/>
        <v>1918993.2245925921</v>
      </c>
      <c r="F25" s="49">
        <f t="shared" si="5"/>
        <v>1885407.4759111106</v>
      </c>
      <c r="G25" s="49">
        <f t="shared" si="5"/>
        <v>1880806.6436207406</v>
      </c>
      <c r="H25" s="49">
        <f t="shared" si="5"/>
        <v>1904132.2246044814</v>
      </c>
      <c r="I25" s="49">
        <f t="shared" si="5"/>
        <v>1954357.019804134</v>
      </c>
      <c r="J25" s="49">
        <f t="shared" si="5"/>
        <v>2283930.630626827</v>
      </c>
      <c r="K25" s="49">
        <f t="shared" si="5"/>
        <v>2636239.3897906565</v>
      </c>
    </row>
    <row r="26" spans="1:13" x14ac:dyDescent="0.6">
      <c r="A26" s="30"/>
      <c r="B26" s="31"/>
      <c r="C26" s="50"/>
      <c r="D26" s="50"/>
      <c r="E26" s="50"/>
      <c r="F26" s="50"/>
      <c r="G26" s="50"/>
      <c r="H26" s="50"/>
      <c r="I26" s="50"/>
      <c r="J26" s="50"/>
      <c r="K26" s="50"/>
      <c r="L26" s="56"/>
      <c r="M26" s="31"/>
    </row>
    <row r="27" spans="1:13" x14ac:dyDescent="0.6">
      <c r="A27" s="58"/>
      <c r="B27" s="59" t="s">
        <v>119</v>
      </c>
      <c r="C27" s="60"/>
      <c r="D27" s="60"/>
      <c r="E27" s="61"/>
      <c r="F27" s="61"/>
      <c r="G27" s="61"/>
      <c r="H27" s="61"/>
      <c r="I27" s="61"/>
      <c r="J27" s="61"/>
      <c r="K27" s="61"/>
    </row>
    <row r="28" spans="1:13" x14ac:dyDescent="0.6">
      <c r="A28" s="30"/>
      <c r="B28" s="31" t="s">
        <v>120</v>
      </c>
      <c r="C28" s="49">
        <f t="shared" ref="C28:K28" si="6">SUM(C13:C14)</f>
        <v>480306.06888888835</v>
      </c>
      <c r="D28" s="49">
        <f t="shared" si="6"/>
        <v>624950.68518518528</v>
      </c>
      <c r="E28" s="53">
        <f t="shared" si="6"/>
        <v>764929.52459259285</v>
      </c>
      <c r="F28" s="53">
        <f t="shared" si="6"/>
        <v>904453.33091111167</v>
      </c>
      <c r="G28" s="53">
        <f t="shared" si="6"/>
        <v>1046995.6203707412</v>
      </c>
      <c r="H28" s="53">
        <f t="shared" si="6"/>
        <v>1195392.8548419825</v>
      </c>
      <c r="I28" s="53">
        <f t="shared" si="6"/>
        <v>1351928.5555060091</v>
      </c>
      <c r="J28" s="53">
        <f t="shared" si="6"/>
        <v>1771866.4359734203</v>
      </c>
      <c r="K28" s="53">
        <f t="shared" si="6"/>
        <v>2200984.8243352599</v>
      </c>
    </row>
    <row r="29" spans="1:13" x14ac:dyDescent="0.6">
      <c r="A29" s="30"/>
      <c r="B29" s="31" t="s">
        <v>121</v>
      </c>
      <c r="C29" s="49">
        <f>C24+C23</f>
        <v>253333.33333333334</v>
      </c>
      <c r="D29" s="49">
        <f t="shared" ref="D29:K29" si="7">D24+D23</f>
        <v>253333.33333333334</v>
      </c>
      <c r="E29" s="49">
        <f t="shared" si="7"/>
        <v>253333.33333333334</v>
      </c>
      <c r="F29" s="49">
        <f t="shared" si="7"/>
        <v>253333.33333333334</v>
      </c>
      <c r="G29" s="49">
        <f t="shared" si="7"/>
        <v>253333.33333333334</v>
      </c>
      <c r="H29" s="49">
        <f t="shared" si="7"/>
        <v>253333.33333333334</v>
      </c>
      <c r="I29" s="49">
        <f t="shared" si="7"/>
        <v>253333.33333333334</v>
      </c>
      <c r="J29" s="49">
        <f t="shared" si="7"/>
        <v>253333.33333333334</v>
      </c>
      <c r="K29" s="49">
        <f t="shared" si="7"/>
        <v>253333.33333333334</v>
      </c>
    </row>
    <row r="30" spans="1:13" x14ac:dyDescent="0.6">
      <c r="A30" s="30"/>
      <c r="B30" s="31" t="s">
        <v>125</v>
      </c>
      <c r="C30" s="14">
        <f>C28/C29</f>
        <v>1.8959450087719276</v>
      </c>
      <c r="D30" s="14">
        <f>D28/D29</f>
        <v>2.466910599415205</v>
      </c>
      <c r="E30" s="15">
        <f t="shared" ref="E30:K30" si="8">E28/E29</f>
        <v>3.019458649707603</v>
      </c>
      <c r="F30" s="15">
        <f t="shared" si="8"/>
        <v>3.5702105167543881</v>
      </c>
      <c r="G30" s="15">
        <f t="shared" si="8"/>
        <v>4.1328774488318736</v>
      </c>
      <c r="H30" s="15">
        <f t="shared" si="8"/>
        <v>4.7186560059551939</v>
      </c>
      <c r="I30" s="15">
        <f t="shared" si="8"/>
        <v>5.3365600875237202</v>
      </c>
      <c r="J30" s="15">
        <f t="shared" si="8"/>
        <v>6.9942096156845537</v>
      </c>
      <c r="K30" s="15">
        <f t="shared" si="8"/>
        <v>8.6880979907970772</v>
      </c>
    </row>
    <row r="31" spans="1:13" x14ac:dyDescent="0.6">
      <c r="A31" s="30"/>
      <c r="B31" s="51" t="s">
        <v>137</v>
      </c>
      <c r="C31" s="14"/>
      <c r="D31" s="14"/>
      <c r="E31" s="15"/>
      <c r="F31" s="15">
        <f>AVERAGE(C30:K30)</f>
        <v>4.5358806581601705</v>
      </c>
      <c r="G31" s="15"/>
      <c r="H31" s="15"/>
      <c r="I31" s="15"/>
      <c r="J31" s="15"/>
      <c r="K31" s="15"/>
    </row>
    <row r="32" spans="1:13" x14ac:dyDescent="0.6">
      <c r="A32" s="30"/>
      <c r="B32" s="31"/>
      <c r="C32" s="14"/>
      <c r="D32" s="14"/>
      <c r="E32" s="15"/>
      <c r="F32" s="15"/>
      <c r="G32" s="15"/>
      <c r="H32" s="15"/>
      <c r="I32" s="15"/>
      <c r="J32" s="15"/>
      <c r="K32" s="15"/>
    </row>
    <row r="33" spans="1:11" x14ac:dyDescent="0.6">
      <c r="A33" s="58"/>
      <c r="B33" s="59" t="s">
        <v>122</v>
      </c>
      <c r="C33" s="60"/>
      <c r="D33" s="60"/>
      <c r="E33" s="61"/>
      <c r="F33" s="61"/>
      <c r="G33" s="61"/>
      <c r="H33" s="61"/>
      <c r="I33" s="61"/>
      <c r="J33" s="61"/>
      <c r="K33" s="61"/>
    </row>
    <row r="34" spans="1:11" x14ac:dyDescent="0.6">
      <c r="A34" s="30"/>
      <c r="B34" s="31" t="s">
        <v>123</v>
      </c>
      <c r="C34" s="49">
        <f>C22+C23</f>
        <v>1725582.222222222</v>
      </c>
      <c r="D34" s="49">
        <f t="shared" ref="D34:K34" si="9">D22+D23</f>
        <v>1471318.5185185182</v>
      </c>
      <c r="E34" s="49">
        <f t="shared" si="9"/>
        <v>1217054.8148148144</v>
      </c>
      <c r="F34" s="49">
        <f t="shared" si="9"/>
        <v>962791.11111111043</v>
      </c>
      <c r="G34" s="49">
        <f t="shared" si="9"/>
        <v>708527.40740740695</v>
      </c>
      <c r="H34" s="49">
        <f t="shared" si="9"/>
        <v>454263.70370370318</v>
      </c>
      <c r="I34" s="49">
        <f t="shared" si="9"/>
        <v>200000</v>
      </c>
      <c r="J34" s="49">
        <f t="shared" si="9"/>
        <v>200000</v>
      </c>
      <c r="K34" s="49">
        <f t="shared" si="9"/>
        <v>200000</v>
      </c>
    </row>
    <row r="35" spans="1:11" x14ac:dyDescent="0.6">
      <c r="A35" s="30"/>
      <c r="B35" s="31" t="s">
        <v>124</v>
      </c>
      <c r="C35" s="49">
        <f t="shared" ref="C35:K35" si="10">C21</f>
        <v>298710.51333333331</v>
      </c>
      <c r="D35" s="49">
        <f t="shared" si="10"/>
        <v>458020.83333333337</v>
      </c>
      <c r="E35" s="53">
        <f t="shared" si="10"/>
        <v>648605.0764444446</v>
      </c>
      <c r="F35" s="53">
        <f t="shared" si="10"/>
        <v>869283.03146666696</v>
      </c>
      <c r="G35" s="53">
        <f t="shared" si="10"/>
        <v>1118945.9028800004</v>
      </c>
      <c r="H35" s="53">
        <f t="shared" si="10"/>
        <v>1396535.187567445</v>
      </c>
      <c r="I35" s="53">
        <f t="shared" si="10"/>
        <v>1701023.6864708008</v>
      </c>
      <c r="J35" s="53">
        <f t="shared" si="10"/>
        <v>2030597.2972934935</v>
      </c>
      <c r="K35" s="53">
        <f t="shared" si="10"/>
        <v>2382906.056457323</v>
      </c>
    </row>
    <row r="36" spans="1:11" x14ac:dyDescent="0.6">
      <c r="A36" s="30"/>
      <c r="B36" s="31" t="s">
        <v>125</v>
      </c>
      <c r="C36" s="14">
        <f>C34/C35</f>
        <v>5.7767709712199915</v>
      </c>
      <c r="D36" s="14">
        <f t="shared" ref="D36:K36" si="11">D34/D35</f>
        <v>3.2123397265812539</v>
      </c>
      <c r="E36" s="15">
        <f t="shared" si="11"/>
        <v>1.8764188857209161</v>
      </c>
      <c r="F36" s="15">
        <f t="shared" si="11"/>
        <v>1.1075691992821661</v>
      </c>
      <c r="G36" s="15">
        <f t="shared" si="11"/>
        <v>0.63320970708571589</v>
      </c>
      <c r="H36" s="15">
        <f t="shared" si="11"/>
        <v>0.32527909625747597</v>
      </c>
      <c r="I36" s="15">
        <f t="shared" si="11"/>
        <v>0.11757625810311322</v>
      </c>
      <c r="J36" s="15">
        <f t="shared" si="11"/>
        <v>9.8493187332895818E-2</v>
      </c>
      <c r="K36" s="15">
        <f t="shared" si="11"/>
        <v>8.3931130838343193E-2</v>
      </c>
    </row>
    <row r="37" spans="1:11" x14ac:dyDescent="0.6">
      <c r="A37" s="30"/>
      <c r="B37" s="51" t="s">
        <v>137</v>
      </c>
      <c r="C37" s="14"/>
      <c r="D37" s="14"/>
      <c r="E37" s="15"/>
      <c r="F37" s="15">
        <f>AVERAGE(C36:K36)</f>
        <v>1.4701764624913189</v>
      </c>
      <c r="G37" s="15"/>
      <c r="H37" s="15"/>
      <c r="I37" s="53"/>
      <c r="J37" s="53"/>
      <c r="K37" s="53"/>
    </row>
    <row r="38" spans="1:11" x14ac:dyDescent="0.6">
      <c r="A38" s="30"/>
      <c r="B38" s="31"/>
      <c r="C38" s="14"/>
      <c r="D38" s="14"/>
      <c r="E38" s="15"/>
      <c r="F38" s="15"/>
      <c r="G38" s="15"/>
      <c r="H38" s="15"/>
      <c r="I38" s="53"/>
      <c r="J38" s="53"/>
      <c r="K38" s="53"/>
    </row>
    <row r="39" spans="1:11" x14ac:dyDescent="0.6">
      <c r="A39" s="58"/>
      <c r="B39" s="59" t="s">
        <v>138</v>
      </c>
      <c r="C39" s="60"/>
      <c r="D39" s="60"/>
      <c r="E39" s="61"/>
      <c r="F39" s="61"/>
      <c r="G39" s="61"/>
      <c r="H39" s="61"/>
      <c r="I39" s="62"/>
      <c r="J39" s="62"/>
      <c r="K39" s="62"/>
    </row>
    <row r="40" spans="1:11" x14ac:dyDescent="0.6">
      <c r="A40" s="30"/>
      <c r="B40" s="51" t="s">
        <v>139</v>
      </c>
      <c r="C40" s="49">
        <f t="shared" ref="C40:K40" si="12">C11</f>
        <v>1597320.0000000002</v>
      </c>
      <c r="D40" s="49">
        <f t="shared" si="12"/>
        <v>1357722.0000000002</v>
      </c>
      <c r="E40" s="49">
        <f t="shared" si="12"/>
        <v>1154063.7000000002</v>
      </c>
      <c r="F40" s="49">
        <f t="shared" si="12"/>
        <v>980954.14500000025</v>
      </c>
      <c r="G40" s="49">
        <f t="shared" si="12"/>
        <v>833811.02325000032</v>
      </c>
      <c r="H40" s="49">
        <f t="shared" si="12"/>
        <v>708739.36976250028</v>
      </c>
      <c r="I40" s="49">
        <f t="shared" si="12"/>
        <v>602428.46429812524</v>
      </c>
      <c r="J40" s="49">
        <f t="shared" si="12"/>
        <v>512064.19465340651</v>
      </c>
      <c r="K40" s="49">
        <f t="shared" si="12"/>
        <v>435254.56545539555</v>
      </c>
    </row>
    <row r="41" spans="1:11" x14ac:dyDescent="0.6">
      <c r="A41" s="30"/>
      <c r="B41" s="51" t="s">
        <v>123</v>
      </c>
      <c r="C41" s="49">
        <f t="shared" ref="C41:K41" si="13">C22+C23</f>
        <v>1725582.222222222</v>
      </c>
      <c r="D41" s="49">
        <f t="shared" si="13"/>
        <v>1471318.5185185182</v>
      </c>
      <c r="E41" s="49">
        <f t="shared" si="13"/>
        <v>1217054.8148148144</v>
      </c>
      <c r="F41" s="49">
        <f t="shared" si="13"/>
        <v>962791.11111111043</v>
      </c>
      <c r="G41" s="49">
        <f t="shared" si="13"/>
        <v>708527.40740740695</v>
      </c>
      <c r="H41" s="49">
        <f t="shared" si="13"/>
        <v>454263.70370370318</v>
      </c>
      <c r="I41" s="49">
        <f t="shared" si="13"/>
        <v>200000</v>
      </c>
      <c r="J41" s="49">
        <f t="shared" si="13"/>
        <v>200000</v>
      </c>
      <c r="K41" s="49">
        <f t="shared" si="13"/>
        <v>200000</v>
      </c>
    </row>
    <row r="42" spans="1:11" x14ac:dyDescent="0.6">
      <c r="A42" s="30"/>
      <c r="B42" s="31" t="s">
        <v>125</v>
      </c>
      <c r="C42" s="14">
        <f>C40/C41</f>
        <v>0.92567017637847215</v>
      </c>
      <c r="D42" s="14">
        <f t="shared" ref="D42:G42" si="14">D40/D41</f>
        <v>0.92279270797672064</v>
      </c>
      <c r="E42" s="14">
        <f t="shared" si="14"/>
        <v>0.94824299279864499</v>
      </c>
      <c r="F42" s="14">
        <f t="shared" si="14"/>
        <v>1.0188649787885233</v>
      </c>
      <c r="G42" s="14">
        <f t="shared" si="14"/>
        <v>1.1768225400073404</v>
      </c>
      <c r="H42" s="49">
        <v>0</v>
      </c>
      <c r="I42" s="49">
        <v>0</v>
      </c>
      <c r="J42" s="49">
        <v>0</v>
      </c>
      <c r="K42" s="49">
        <v>0</v>
      </c>
    </row>
    <row r="43" spans="1:11" x14ac:dyDescent="0.6">
      <c r="A43" s="30"/>
      <c r="B43" s="51" t="s">
        <v>137</v>
      </c>
      <c r="C43" s="14"/>
      <c r="D43" s="14"/>
      <c r="E43" s="15"/>
      <c r="F43" s="15">
        <f>AVERAGE(C42:K42)</f>
        <v>0.55471037732774464</v>
      </c>
      <c r="G43" s="15"/>
      <c r="H43" s="15"/>
      <c r="I43" s="15"/>
      <c r="J43" s="15"/>
      <c r="K43" s="15"/>
    </row>
    <row r="44" spans="1:11" x14ac:dyDescent="0.6">
      <c r="A44" s="30"/>
      <c r="B44" s="31"/>
      <c r="C44" s="14"/>
      <c r="D44" s="14"/>
      <c r="E44" s="15"/>
      <c r="F44" s="15"/>
      <c r="G44" s="15"/>
      <c r="H44" s="15"/>
      <c r="I44" s="53"/>
      <c r="J44" s="53"/>
      <c r="K44" s="53"/>
    </row>
    <row r="45" spans="1:11" x14ac:dyDescent="0.6">
      <c r="A45" s="58"/>
      <c r="B45" s="59" t="s">
        <v>131</v>
      </c>
      <c r="C45" s="60"/>
      <c r="D45" s="60"/>
      <c r="E45" s="61"/>
      <c r="F45" s="61"/>
      <c r="G45" s="61"/>
      <c r="H45" s="61"/>
      <c r="I45" s="62"/>
      <c r="J45" s="62"/>
      <c r="K45" s="62"/>
    </row>
    <row r="46" spans="1:11" x14ac:dyDescent="0.6">
      <c r="A46" s="30"/>
      <c r="B46" s="31" t="s">
        <v>132</v>
      </c>
      <c r="C46" s="52">
        <f>'Ann 4'!C31</f>
        <v>120116.33333333334</v>
      </c>
      <c r="D46" s="52">
        <f>'Ann 4'!D31</f>
        <v>105813.99999999999</v>
      </c>
      <c r="E46" s="52">
        <f>'Ann 4'!E31</f>
        <v>90558.177777777746</v>
      </c>
      <c r="F46" s="52">
        <f>'Ann 4'!F31</f>
        <v>75302.355555555521</v>
      </c>
      <c r="G46" s="52">
        <f>'Ann 4'!G31</f>
        <v>60046.533333333304</v>
      </c>
      <c r="H46" s="52">
        <f>'Ann 4'!H31</f>
        <v>44790.711111111079</v>
      </c>
      <c r="I46" s="52">
        <f>'Ann 4'!I31</f>
        <v>29534.888888888854</v>
      </c>
      <c r="J46" s="52">
        <f>'Ann 4'!J31</f>
        <v>20000</v>
      </c>
      <c r="K46" s="52">
        <f>'Ann 4'!K31</f>
        <v>20000</v>
      </c>
    </row>
    <row r="47" spans="1:11" x14ac:dyDescent="0.6">
      <c r="A47" s="30"/>
      <c r="B47" s="31" t="s">
        <v>134</v>
      </c>
      <c r="C47" s="52">
        <f>(SUM('Ann 13'!D9:D12)*100000)+('Ann 1'!$C$25*100000)</f>
        <v>390697.77777777775</v>
      </c>
      <c r="D47" s="52">
        <f>(SUM('Ann 13'!D13:D16)*100000)+('Ann 1'!$C$25*100000)</f>
        <v>454263.70370370371</v>
      </c>
      <c r="E47" s="52">
        <f>(SUM('Ann 13'!D17:D20)*100000)+('Ann 1'!$C$25*100000)</f>
        <v>454263.70370370371</v>
      </c>
      <c r="F47" s="52">
        <f>(SUM('Ann 13'!D21:D24)*100000)+('Ann 1'!$C$25*100000)</f>
        <v>454263.70370370371</v>
      </c>
      <c r="G47" s="52">
        <f>(SUM('Ann 13'!D25:D28)*100000)+('Ann 1'!$C$25*100000)</f>
        <v>454263.70370370371</v>
      </c>
      <c r="H47" s="52">
        <f>(SUM('Ann 13'!D29:D32)*100000)+('Ann 1'!$C$25*100000)</f>
        <v>454263.70370370371</v>
      </c>
      <c r="I47" s="52">
        <f>(SUM('Ann 13'!D33:D36)*100000)+('Ann 1'!$C$25*100000)</f>
        <v>454263.70370370336</v>
      </c>
      <c r="J47" s="52">
        <f>(SUM('Ann 13'!D37:D37)*100000)+('Ann 1'!$C$25*100000)</f>
        <v>200000</v>
      </c>
      <c r="K47" s="52">
        <f>(SUM('Ann 13'!D38:D39)*100000)+('Ann 1'!$C$25*100000)</f>
        <v>200000</v>
      </c>
    </row>
    <row r="48" spans="1:11" x14ac:dyDescent="0.6">
      <c r="A48" s="30"/>
      <c r="B48" s="31" t="s">
        <v>8</v>
      </c>
      <c r="C48" s="52">
        <f>SUM(C46:C47)</f>
        <v>510814.11111111112</v>
      </c>
      <c r="D48" s="52">
        <f t="shared" ref="D48:K48" si="15">SUM(D46:D47)</f>
        <v>560077.70370370371</v>
      </c>
      <c r="E48" s="55">
        <f t="shared" si="15"/>
        <v>544821.88148148148</v>
      </c>
      <c r="F48" s="55">
        <f t="shared" si="15"/>
        <v>529566.05925925926</v>
      </c>
      <c r="G48" s="55">
        <f t="shared" si="15"/>
        <v>514310.23703703703</v>
      </c>
      <c r="H48" s="55">
        <f t="shared" si="15"/>
        <v>499054.41481481481</v>
      </c>
      <c r="I48" s="55">
        <f t="shared" si="15"/>
        <v>483798.59259259223</v>
      </c>
      <c r="J48" s="55">
        <f t="shared" si="15"/>
        <v>220000</v>
      </c>
      <c r="K48" s="55">
        <f t="shared" si="15"/>
        <v>220000</v>
      </c>
    </row>
    <row r="49" spans="1:11" x14ac:dyDescent="0.6">
      <c r="A49" s="30"/>
      <c r="B49" s="31" t="s">
        <v>133</v>
      </c>
      <c r="C49" s="52">
        <f>'Ann 4'!C26</f>
        <v>1086214.2857142859</v>
      </c>
      <c r="D49" s="52">
        <f>'Ann 4'!D26</f>
        <v>1483342.8571428577</v>
      </c>
      <c r="E49" s="55">
        <f>'Ann 4'!E26</f>
        <v>1655532.5000000009</v>
      </c>
      <c r="F49" s="55">
        <f>'Ann 4'!F26</f>
        <v>1824683.0178571437</v>
      </c>
      <c r="G49" s="55">
        <f>'Ann 4'!G26</f>
        <v>1990495.8794642868</v>
      </c>
      <c r="H49" s="55">
        <f>'Ann 4'!H26</f>
        <v>2152642.9695089301</v>
      </c>
      <c r="I49" s="55">
        <f>'Ann 4'!I26</f>
        <v>2310763.6436629477</v>
      </c>
      <c r="J49" s="55">
        <f>'Ann 4'!J26</f>
        <v>2464461.4898068099</v>
      </c>
      <c r="K49" s="55">
        <f>'Ann 4'!K26</f>
        <v>2613300.7660825066</v>
      </c>
    </row>
    <row r="50" spans="1:11" x14ac:dyDescent="0.6">
      <c r="A50" s="30"/>
      <c r="B50" s="31" t="s">
        <v>125</v>
      </c>
      <c r="C50" s="14">
        <f>C49/C48</f>
        <v>2.126437508454059</v>
      </c>
      <c r="D50" s="14">
        <f t="shared" ref="D50:H50" si="16">D49/D48</f>
        <v>2.6484590394042651</v>
      </c>
      <c r="E50" s="15">
        <f t="shared" si="16"/>
        <v>3.0386674182363445</v>
      </c>
      <c r="F50" s="15">
        <f t="shared" si="16"/>
        <v>3.4456192687451574</v>
      </c>
      <c r="G50" s="15">
        <f t="shared" si="16"/>
        <v>3.8702241101239157</v>
      </c>
      <c r="H50" s="15">
        <f t="shared" si="16"/>
        <v>4.3134433953614373</v>
      </c>
      <c r="I50" s="16">
        <v>0</v>
      </c>
      <c r="J50" s="16">
        <v>0</v>
      </c>
      <c r="K50" s="16">
        <v>0</v>
      </c>
    </row>
    <row r="51" spans="1:11" ht="17.5" thickBot="1" x14ac:dyDescent="0.65">
      <c r="A51" s="90"/>
      <c r="B51" s="91" t="s">
        <v>137</v>
      </c>
      <c r="C51" s="92"/>
      <c r="D51" s="92"/>
      <c r="E51" s="93"/>
      <c r="F51" s="93">
        <f>AVERAGE(C50:H50)</f>
        <v>3.2404751233875295</v>
      </c>
      <c r="G51" s="93"/>
      <c r="H51" s="93"/>
      <c r="I51" s="94"/>
      <c r="J51" s="94"/>
      <c r="K51" s="94"/>
    </row>
    <row r="52" spans="1:11" ht="17.5" thickTop="1" x14ac:dyDescent="0.6"/>
    <row r="53" spans="1:11" x14ac:dyDescent="0.6">
      <c r="A53" s="8" t="s">
        <v>221</v>
      </c>
    </row>
    <row r="54" spans="1:11" x14ac:dyDescent="0.6">
      <c r="A54" s="8" t="s">
        <v>216</v>
      </c>
    </row>
  </sheetData>
  <mergeCells count="3">
    <mergeCell ref="A5:A6"/>
    <mergeCell ref="B5:B6"/>
    <mergeCell ref="C5:K5"/>
  </mergeCells>
  <pageMargins left="0.7" right="0.7" top="0.75" bottom="0.75" header="0.3" footer="0.3"/>
  <pageSetup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3" t="s">
        <v>192</v>
      </c>
    </row>
    <row r="3" spans="1:3" x14ac:dyDescent="0.35">
      <c r="A3" s="2" t="s">
        <v>195</v>
      </c>
    </row>
    <row r="5" spans="1:3" x14ac:dyDescent="0.35">
      <c r="A5" s="3" t="s">
        <v>193</v>
      </c>
    </row>
    <row r="6" spans="1:3" x14ac:dyDescent="0.35">
      <c r="A6" s="4" t="s">
        <v>201</v>
      </c>
    </row>
    <row r="7" spans="1:3" x14ac:dyDescent="0.35">
      <c r="A7" t="s">
        <v>194</v>
      </c>
      <c r="B7">
        <v>5</v>
      </c>
      <c r="C7" t="s">
        <v>198</v>
      </c>
    </row>
    <row r="8" spans="1:3" x14ac:dyDescent="0.35">
      <c r="A8" t="s">
        <v>196</v>
      </c>
      <c r="B8">
        <v>30</v>
      </c>
      <c r="C8" t="s">
        <v>199</v>
      </c>
    </row>
    <row r="9" spans="1:3" x14ac:dyDescent="0.35">
      <c r="A9" t="s">
        <v>197</v>
      </c>
      <c r="B9">
        <f>B8*3000*20/B7</f>
        <v>360000</v>
      </c>
      <c r="C9" t="s">
        <v>200</v>
      </c>
    </row>
    <row r="11" spans="1:3" x14ac:dyDescent="0.35">
      <c r="A11" s="4" t="s">
        <v>202</v>
      </c>
    </row>
    <row r="12" spans="1:3" x14ac:dyDescent="0.35">
      <c r="A12" s="4" t="s">
        <v>194</v>
      </c>
      <c r="B12">
        <v>0.5</v>
      </c>
      <c r="C12" t="s">
        <v>203</v>
      </c>
    </row>
    <row r="13" spans="1:3" x14ac:dyDescent="0.35">
      <c r="A13" s="4" t="s">
        <v>204</v>
      </c>
      <c r="B13">
        <f>B12*3000*30</f>
        <v>45000</v>
      </c>
      <c r="C13" t="s">
        <v>205</v>
      </c>
    </row>
    <row r="15" spans="1:3" x14ac:dyDescent="0.35">
      <c r="A15" t="s">
        <v>206</v>
      </c>
      <c r="B15">
        <f>B13+B9</f>
        <v>405000</v>
      </c>
    </row>
    <row r="16" spans="1:3" x14ac:dyDescent="0.35">
      <c r="A16" t="s">
        <v>207</v>
      </c>
      <c r="B16">
        <v>75</v>
      </c>
    </row>
    <row r="17" spans="1:2" x14ac:dyDescent="0.35">
      <c r="A17" t="s">
        <v>208</v>
      </c>
      <c r="B17" s="6">
        <f>B15*B16</f>
        <v>30375000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heetViews>
  <sheetFormatPr defaultRowHeight="17" x14ac:dyDescent="0.6"/>
  <cols>
    <col min="1" max="1" width="6.36328125" style="8" bestFit="1" customWidth="1"/>
    <col min="2" max="2" width="18.81640625" style="8" bestFit="1" customWidth="1"/>
    <col min="3" max="3" width="19.453125" style="8" bestFit="1" customWidth="1"/>
    <col min="4" max="4" width="18.08984375" style="8" bestFit="1" customWidth="1"/>
    <col min="5" max="5" width="14.453125" style="8" bestFit="1" customWidth="1"/>
    <col min="6" max="6" width="26.453125" style="8" bestFit="1" customWidth="1"/>
    <col min="7" max="16384" width="8.7265625" style="8"/>
  </cols>
  <sheetData>
    <row r="1" spans="1:6" x14ac:dyDescent="0.6">
      <c r="A1" s="7" t="s">
        <v>53</v>
      </c>
    </row>
    <row r="3" spans="1:6" x14ac:dyDescent="0.6">
      <c r="A3" s="63" t="s">
        <v>52</v>
      </c>
    </row>
    <row r="5" spans="1:6" x14ac:dyDescent="0.6">
      <c r="A5" s="12" t="s">
        <v>23</v>
      </c>
      <c r="B5" s="12" t="s">
        <v>3</v>
      </c>
      <c r="C5" s="12" t="s">
        <v>56</v>
      </c>
      <c r="D5" s="12" t="s">
        <v>11</v>
      </c>
      <c r="E5" s="12" t="s">
        <v>57</v>
      </c>
      <c r="F5" s="12" t="s">
        <v>58</v>
      </c>
    </row>
    <row r="6" spans="1:6" x14ac:dyDescent="0.6">
      <c r="A6" s="9" t="s">
        <v>49</v>
      </c>
      <c r="B6" s="9" t="s">
        <v>13</v>
      </c>
      <c r="C6" s="43">
        <f>'Ann 1'!C15*100000</f>
        <v>0</v>
      </c>
      <c r="D6" s="43">
        <f>SUM('Ann 3'!E4:E9)</f>
        <v>1879200</v>
      </c>
      <c r="E6" s="43">
        <v>0</v>
      </c>
      <c r="F6" s="65">
        <f>SUM(C6:E6)/100000</f>
        <v>18.792000000000002</v>
      </c>
    </row>
    <row r="7" spans="1:6" x14ac:dyDescent="0.6">
      <c r="A7" s="9" t="s">
        <v>50</v>
      </c>
      <c r="B7" s="9" t="s">
        <v>54</v>
      </c>
      <c r="C7" s="43">
        <v>0</v>
      </c>
      <c r="D7" s="43">
        <v>0</v>
      </c>
      <c r="E7" s="43">
        <v>0</v>
      </c>
      <c r="F7" s="66">
        <f>SUM(C7:E7)/100000</f>
        <v>0</v>
      </c>
    </row>
    <row r="8" spans="1:6" x14ac:dyDescent="0.6">
      <c r="A8" s="9" t="s">
        <v>51</v>
      </c>
      <c r="B8" s="9" t="s">
        <v>55</v>
      </c>
      <c r="C8" s="43">
        <v>0</v>
      </c>
      <c r="D8" s="43">
        <v>0</v>
      </c>
      <c r="E8" s="43">
        <v>0</v>
      </c>
      <c r="F8" s="66">
        <f>SUM(C8:E8)/100000</f>
        <v>0</v>
      </c>
    </row>
    <row r="9" spans="1:6" x14ac:dyDescent="0.6">
      <c r="A9" s="9"/>
      <c r="B9" s="118" t="s">
        <v>8</v>
      </c>
      <c r="C9" s="118"/>
      <c r="D9" s="118"/>
      <c r="E9" s="118"/>
      <c r="F9" s="65">
        <f>SUM(F6:F8)</f>
        <v>18.792000000000002</v>
      </c>
    </row>
    <row r="11" spans="1:6" x14ac:dyDescent="0.6">
      <c r="A11" s="67"/>
      <c r="B11" s="67" t="s">
        <v>59</v>
      </c>
      <c r="C11" s="68">
        <v>0.1</v>
      </c>
      <c r="D11" s="68">
        <v>0.15</v>
      </c>
      <c r="E11" s="68">
        <v>0.1</v>
      </c>
      <c r="F11" s="67" t="s">
        <v>148</v>
      </c>
    </row>
    <row r="12" spans="1:6" x14ac:dyDescent="0.6">
      <c r="A12" s="69" t="s">
        <v>60</v>
      </c>
      <c r="B12" s="70">
        <v>1</v>
      </c>
      <c r="C12" s="71">
        <f>C11*C6</f>
        <v>0</v>
      </c>
      <c r="D12" s="71">
        <f>D11*D6</f>
        <v>281880</v>
      </c>
      <c r="E12" s="71">
        <f>E11*(E6+E8)</f>
        <v>0</v>
      </c>
      <c r="F12" s="71">
        <f>SUM(C12:E12)</f>
        <v>281880</v>
      </c>
    </row>
    <row r="13" spans="1:6" x14ac:dyDescent="0.6">
      <c r="A13" s="69" t="s">
        <v>60</v>
      </c>
      <c r="B13" s="70">
        <v>2</v>
      </c>
      <c r="C13" s="71">
        <f>(C6-C12)*C11</f>
        <v>0</v>
      </c>
      <c r="D13" s="71">
        <f>(D6-D12)*D11</f>
        <v>239598</v>
      </c>
      <c r="E13" s="71">
        <f>(E6+E8-E12)*E11</f>
        <v>0</v>
      </c>
      <c r="F13" s="71">
        <f>SUM(C13:E13)</f>
        <v>239598</v>
      </c>
    </row>
    <row r="14" spans="1:6" x14ac:dyDescent="0.6">
      <c r="A14" s="69" t="s">
        <v>60</v>
      </c>
      <c r="B14" s="70">
        <v>3</v>
      </c>
      <c r="C14" s="71">
        <f>(C6-C12-C13)*C11</f>
        <v>0</v>
      </c>
      <c r="D14" s="71">
        <f>(D6-D12-D13)*D11</f>
        <v>203658.3</v>
      </c>
      <c r="E14" s="71">
        <f>(E6+E8-E12-E13)*E11</f>
        <v>0</v>
      </c>
      <c r="F14" s="71">
        <f t="shared" ref="F14:F20" si="0">SUM(C14:E14)</f>
        <v>203658.3</v>
      </c>
    </row>
    <row r="15" spans="1:6" x14ac:dyDescent="0.6">
      <c r="A15" s="69" t="s">
        <v>60</v>
      </c>
      <c r="B15" s="70">
        <v>4</v>
      </c>
      <c r="C15" s="71">
        <f>(C6-C12-C13-C14)*C11</f>
        <v>0</v>
      </c>
      <c r="D15" s="71">
        <f>(D6-D12-D13-D14)*D11</f>
        <v>173109.55499999999</v>
      </c>
      <c r="E15" s="71">
        <f>(E6+E8-E12-E13-E14)*E11</f>
        <v>0</v>
      </c>
      <c r="F15" s="71">
        <f t="shared" si="0"/>
        <v>173109.55499999999</v>
      </c>
    </row>
    <row r="16" spans="1:6" x14ac:dyDescent="0.6">
      <c r="A16" s="69" t="s">
        <v>60</v>
      </c>
      <c r="B16" s="70">
        <v>5</v>
      </c>
      <c r="C16" s="71">
        <f>(C6-C12-C13-C14-C15)*C11</f>
        <v>0</v>
      </c>
      <c r="D16" s="71">
        <f>(D6-D12-D13-D14-D15)*D11</f>
        <v>147143.12174999999</v>
      </c>
      <c r="E16" s="71">
        <f>(E6+E8-E12-E13-E14-E15)*E11</f>
        <v>0</v>
      </c>
      <c r="F16" s="71">
        <f t="shared" si="0"/>
        <v>147143.12174999999</v>
      </c>
    </row>
    <row r="17" spans="1:6" x14ac:dyDescent="0.6">
      <c r="A17" s="69" t="s">
        <v>60</v>
      </c>
      <c r="B17" s="70">
        <v>6</v>
      </c>
      <c r="C17" s="71">
        <f>(C6-C12-C13-C14-C15-C16)*C11</f>
        <v>0</v>
      </c>
      <c r="D17" s="71">
        <f>(D6-D12-D13-D14-D15-D16)*D11</f>
        <v>125071.65348750001</v>
      </c>
      <c r="E17" s="71">
        <f>(E6+E8-E12-E13-E14-E15-E16)*E11</f>
        <v>0</v>
      </c>
      <c r="F17" s="71">
        <f t="shared" si="0"/>
        <v>125071.65348750001</v>
      </c>
    </row>
    <row r="18" spans="1:6" x14ac:dyDescent="0.6">
      <c r="A18" s="69" t="s">
        <v>60</v>
      </c>
      <c r="B18" s="70">
        <v>7</v>
      </c>
      <c r="C18" s="71">
        <f>(C6-C12-C13-C14-C15-C16-C17)*C11</f>
        <v>0</v>
      </c>
      <c r="D18" s="71">
        <f>(D6-D12-D13-D14-D15-D16-D17)*D11</f>
        <v>106310.905464375</v>
      </c>
      <c r="E18" s="71">
        <f>(E6+E8-E12-E13-E14-E15-E16-E17)*E11</f>
        <v>0</v>
      </c>
      <c r="F18" s="71">
        <f t="shared" si="0"/>
        <v>106310.905464375</v>
      </c>
    </row>
    <row r="19" spans="1:6" x14ac:dyDescent="0.6">
      <c r="A19" s="69" t="s">
        <v>60</v>
      </c>
      <c r="B19" s="70">
        <v>8</v>
      </c>
      <c r="C19" s="71">
        <f>(C6-C12-C13-C14-C15-C16-C17-C18)*C11</f>
        <v>0</v>
      </c>
      <c r="D19" s="71">
        <f>(D6-D12-D13-D14-D15-D16-D17-D18)*D11</f>
        <v>90364.269644718748</v>
      </c>
      <c r="E19" s="71">
        <f>(E6+E8-E12-E13-E14-E15-E16-E17-E18)*E11</f>
        <v>0</v>
      </c>
      <c r="F19" s="71">
        <f t="shared" si="0"/>
        <v>90364.269644718748</v>
      </c>
    </row>
    <row r="20" spans="1:6" x14ac:dyDescent="0.6">
      <c r="A20" s="69" t="s">
        <v>60</v>
      </c>
      <c r="B20" s="70">
        <v>9</v>
      </c>
      <c r="C20" s="71">
        <f>(C6-C12-C13-C14-C15-C16-C17-C18-C19)*C11</f>
        <v>0</v>
      </c>
      <c r="D20" s="71">
        <f>(D6-D12-D13-D14-D15-D16-D17-D18-D19)*D11</f>
        <v>76809.629198010938</v>
      </c>
      <c r="E20" s="71">
        <f>(E6+E8-E12-E13-E14-E15-E16-E17-E18-E19)*E11</f>
        <v>0</v>
      </c>
      <c r="F20" s="71">
        <f t="shared" si="0"/>
        <v>76809.629198010938</v>
      </c>
    </row>
    <row r="21" spans="1:6" x14ac:dyDescent="0.6">
      <c r="B21" s="24"/>
    </row>
    <row r="22" spans="1:6" x14ac:dyDescent="0.6">
      <c r="A22" s="72"/>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Input</vt:lpstr>
      <vt:lpstr>Ann 1</vt:lpstr>
      <vt:lpstr>Ann 2</vt:lpstr>
      <vt:lpstr>Ann 3</vt:lpstr>
      <vt:lpstr>Ann 4</vt:lpstr>
      <vt:lpstr>Ann 5</vt:lpstr>
      <vt:lpstr>Ann 6</vt:lpstr>
      <vt:lpstr>Ann 9</vt:lpstr>
      <vt:lpstr>Ann 10</vt:lpstr>
      <vt:lpstr>Ann 11</vt:lpstr>
      <vt:lpstr>Ann 12</vt:lpstr>
      <vt:lpstr>Ann 13</vt:lpstr>
      <vt:lpstr>For word file</vt:lpstr>
      <vt:lpstr>Ann 14</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2021-08-04T07:53:58Z</cp:lastPrinted>
  <dcterms:created xsi:type="dcterms:W3CDTF">2021-07-04T07:21:16Z</dcterms:created>
  <dcterms:modified xsi:type="dcterms:W3CDTF">2021-11-18T11:33:05Z</dcterms:modified>
</cp:coreProperties>
</file>